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5940" activeTab="1"/>
  </bookViews>
  <sheets>
    <sheet name="Вводные данные" sheetId="2" r:id="rId1"/>
    <sheet name="Денежный поток" sheetId="1" r:id="rId2"/>
    <sheet name="Налог на прибыль" sheetId="8" r:id="rId3"/>
  </sheets>
  <definedNames>
    <definedName name="_xlnm.Print_Titles" localSheetId="1">'Денежный поток'!$A:$A</definedName>
  </definedNames>
  <calcPr calcId="125725"/>
</workbook>
</file>

<file path=xl/calcChain.xml><?xml version="1.0" encoding="utf-8"?>
<calcChain xmlns="http://schemas.openxmlformats.org/spreadsheetml/2006/main">
  <c r="R30" i="1"/>
  <c r="S30"/>
  <c r="T30"/>
  <c r="U30"/>
  <c r="V30"/>
  <c r="W30"/>
  <c r="X30"/>
  <c r="Y30"/>
  <c r="Z30"/>
  <c r="Q30"/>
  <c r="P30"/>
  <c r="O30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H23"/>
  <c r="N21" i="8"/>
  <c r="N20"/>
  <c r="N19"/>
  <c r="N18"/>
  <c r="N16"/>
  <c r="N13"/>
  <c r="D18"/>
  <c r="D17"/>
  <c r="D16"/>
  <c r="D13"/>
  <c r="D12"/>
  <c r="D10"/>
  <c r="D8"/>
  <c r="D6"/>
  <c r="A17"/>
  <c r="A18"/>
  <c r="A19"/>
  <c r="A20"/>
  <c r="A6"/>
  <c r="A7"/>
  <c r="A8"/>
  <c r="A9"/>
  <c r="A10"/>
  <c r="A11"/>
  <c r="A12"/>
  <c r="A13"/>
  <c r="A14"/>
  <c r="A15"/>
  <c r="A16"/>
  <c r="A5"/>
  <c r="P39" i="1"/>
  <c r="P43" s="1"/>
  <c r="Q39"/>
  <c r="Q43" s="1"/>
  <c r="R39"/>
  <c r="R43" s="1"/>
  <c r="S39"/>
  <c r="S43" s="1"/>
  <c r="T39"/>
  <c r="T43" s="1"/>
  <c r="U39"/>
  <c r="U43" s="1"/>
  <c r="V39"/>
  <c r="W39"/>
  <c r="W43" s="1"/>
  <c r="X39"/>
  <c r="X43" s="1"/>
  <c r="Y39"/>
  <c r="Y43" s="1"/>
  <c r="Z39"/>
  <c r="Z43" s="1"/>
  <c r="V43"/>
  <c r="O39"/>
  <c r="O43" s="1"/>
  <c r="N5" i="8" l="1"/>
  <c r="B20" i="1"/>
  <c r="B21"/>
  <c r="B19"/>
  <c r="B10" l="1"/>
  <c r="G43" l="1"/>
  <c r="F43"/>
  <c r="R7" i="8" l="1"/>
  <c r="H7" l="1"/>
  <c r="B13" i="1"/>
  <c r="C24"/>
  <c r="D35"/>
  <c r="H35"/>
  <c r="H43" s="1"/>
  <c r="I35"/>
  <c r="I43" s="1"/>
  <c r="D39"/>
  <c r="C39"/>
  <c r="B41"/>
  <c r="J35"/>
  <c r="J43" s="1"/>
  <c r="C35"/>
  <c r="E35"/>
  <c r="B17"/>
  <c r="E24"/>
  <c r="G24"/>
  <c r="H15"/>
  <c r="H5" s="1"/>
  <c r="H30" s="1"/>
  <c r="I15"/>
  <c r="I5" s="1"/>
  <c r="I30" s="1"/>
  <c r="J15"/>
  <c r="J5" s="1"/>
  <c r="J30" s="1"/>
  <c r="K15"/>
  <c r="K5" s="1"/>
  <c r="K30" s="1"/>
  <c r="L15"/>
  <c r="L5" s="1"/>
  <c r="L30" s="1"/>
  <c r="M15"/>
  <c r="M5" s="1"/>
  <c r="M30" s="1"/>
  <c r="N15"/>
  <c r="N5" s="1"/>
  <c r="N30" s="1"/>
  <c r="O15"/>
  <c r="P15"/>
  <c r="Q15"/>
  <c r="Q24" s="1"/>
  <c r="R15"/>
  <c r="S15"/>
  <c r="S24" s="1"/>
  <c r="T15"/>
  <c r="T24" s="1"/>
  <c r="U15"/>
  <c r="U24" s="1"/>
  <c r="V15"/>
  <c r="V24" s="1"/>
  <c r="W15"/>
  <c r="W24" s="1"/>
  <c r="X15"/>
  <c r="Y15"/>
  <c r="Y24" s="1"/>
  <c r="Z15"/>
  <c r="D24"/>
  <c r="O14"/>
  <c r="P14"/>
  <c r="Q14"/>
  <c r="R14"/>
  <c r="S14"/>
  <c r="T14"/>
  <c r="U14"/>
  <c r="V14"/>
  <c r="W14"/>
  <c r="X14"/>
  <c r="Y14"/>
  <c r="Z14"/>
  <c r="B7"/>
  <c r="D7" i="8" s="1"/>
  <c r="B8" i="1"/>
  <c r="B9"/>
  <c r="D9" i="8" s="1"/>
  <c r="B11" i="1"/>
  <c r="D11" i="8" s="1"/>
  <c r="B12" i="1"/>
  <c r="B6"/>
  <c r="B30" l="1"/>
  <c r="B10" i="2" s="1"/>
  <c r="D15" i="8"/>
  <c r="O24" i="1"/>
  <c r="N15" i="8"/>
  <c r="N14"/>
  <c r="K24" i="1"/>
  <c r="J24"/>
  <c r="M24"/>
  <c r="I24"/>
  <c r="B40"/>
  <c r="B18"/>
  <c r="B15"/>
  <c r="Z24"/>
  <c r="X24"/>
  <c r="R24"/>
  <c r="P24"/>
  <c r="N24"/>
  <c r="L24"/>
  <c r="F24"/>
  <c r="C43"/>
  <c r="E39"/>
  <c r="B22"/>
  <c r="D23"/>
  <c r="B14"/>
  <c r="B16"/>
  <c r="B5" l="1"/>
  <c r="D5" i="8"/>
  <c r="D46" i="1"/>
  <c r="B39"/>
  <c r="E46"/>
  <c r="C46"/>
  <c r="C48" s="1"/>
  <c r="B35"/>
  <c r="B24"/>
  <c r="B43" l="1"/>
  <c r="D48"/>
  <c r="E48" s="1"/>
  <c r="F46"/>
  <c r="F48" l="1"/>
  <c r="G46" l="1"/>
  <c r="G48" s="1"/>
  <c r="H46"/>
  <c r="H48" l="1"/>
  <c r="O46" l="1"/>
  <c r="P46" l="1"/>
  <c r="S46" l="1"/>
  <c r="W26" l="1"/>
  <c r="V46" l="1"/>
  <c r="Z26" l="1"/>
  <c r="B23"/>
  <c r="Y46" l="1"/>
  <c r="B46" l="1"/>
  <c r="I46"/>
  <c r="I48" s="1"/>
  <c r="J46" l="1"/>
  <c r="J48" s="1"/>
  <c r="K46" l="1"/>
  <c r="K48" s="1"/>
  <c r="L46"/>
  <c r="M46"/>
  <c r="N46" l="1"/>
  <c r="L48"/>
  <c r="M48" s="1"/>
  <c r="N48" l="1"/>
  <c r="O48" s="1"/>
  <c r="P48" s="1"/>
  <c r="U46" l="1"/>
  <c r="R46"/>
  <c r="X46"/>
  <c r="Z46" l="1"/>
  <c r="W46"/>
  <c r="T26"/>
  <c r="T46"/>
  <c r="Q26"/>
  <c r="N24" i="8" s="1"/>
  <c r="Q46" i="1"/>
  <c r="Q48" s="1"/>
  <c r="R48" s="1"/>
  <c r="S48" s="1"/>
  <c r="T48" s="1"/>
  <c r="U48" s="1"/>
  <c r="V48" s="1"/>
  <c r="W48" s="1"/>
  <c r="X48" s="1"/>
  <c r="Y48" s="1"/>
  <c r="Z48" l="1"/>
  <c r="N25" i="8"/>
</calcChain>
</file>

<file path=xl/sharedStrings.xml><?xml version="1.0" encoding="utf-8"?>
<sst xmlns="http://schemas.openxmlformats.org/spreadsheetml/2006/main" count="101" uniqueCount="63">
  <si>
    <t>Производственное оборудование</t>
  </si>
  <si>
    <t>Проект</t>
  </si>
  <si>
    <t>ЗАТРАТЫ, тыс. руб.</t>
  </si>
  <si>
    <t>СЕРТИФИКАЦИЯ ПРОИЗВОДСТВА</t>
  </si>
  <si>
    <t>ЭКОЛОГИЧЕСКИЙ АУДИТ</t>
  </si>
  <si>
    <t>ИТОГО</t>
  </si>
  <si>
    <t>КАПИТАЛЬНЫЕ ЗАТРАТЫ:</t>
  </si>
  <si>
    <t>-</t>
  </si>
  <si>
    <t>ИТОГО ЗАТРАТ, тыс.руб.</t>
  </si>
  <si>
    <t>Налог на прибыль</t>
  </si>
  <si>
    <t>НАЛОГИ:</t>
  </si>
  <si>
    <t>Ставка по кредиту, %</t>
  </si>
  <si>
    <t>Срок кредита, мес</t>
  </si>
  <si>
    <t>ПЛАТЕЖИ ПО КРЕДИТУ (АННУИТЕТ)</t>
  </si>
  <si>
    <t>ЧИСТЫЙ ДЕНЕЖНЫЙ ПОТОК (ЧДП)</t>
  </si>
  <si>
    <t>(ЧДП) НАКОПЛЕННЫМ ИТОГОМ</t>
  </si>
  <si>
    <t>ФИНАНСОВЫЙ ПЛАН</t>
  </si>
  <si>
    <t>ВЫРУЧКА, тыс. руб. (без НДС)</t>
  </si>
  <si>
    <t>ИТОГО ВЫРУЧКА, тыс. руб. (без НДС)</t>
  </si>
  <si>
    <t>без НДС</t>
  </si>
  <si>
    <t>ЗАРАБОТНАЯ ПЛАТА (вкл. налоги):</t>
  </si>
  <si>
    <t>Выручка</t>
  </si>
  <si>
    <t>Итого</t>
  </si>
  <si>
    <t>Амортизация</t>
  </si>
  <si>
    <t>Затраты</t>
  </si>
  <si>
    <t>Прочий доход</t>
  </si>
  <si>
    <t>Итого прибыль</t>
  </si>
  <si>
    <t>Налоги по заработной плате</t>
  </si>
  <si>
    <t>Потребление сырья , тонн/час</t>
  </si>
  <si>
    <t>Затраты на доставку, руб/тонну</t>
  </si>
  <si>
    <t>2018 год</t>
  </si>
  <si>
    <t>СЫРЬЕ (доставка)</t>
  </si>
  <si>
    <t>Сумма инвестиционных затрат, тыс. руб.</t>
  </si>
  <si>
    <t>Налог на прибыль за 2018 год</t>
  </si>
  <si>
    <t>Тариф за утилизацию руб/тонна</t>
  </si>
  <si>
    <t>Стоимость руб/тонна</t>
  </si>
  <si>
    <t>ПРОДАЖА АММИАЧНАЯ СЕЛИТРА</t>
  </si>
  <si>
    <t>2019 год</t>
  </si>
  <si>
    <t>Налог на прибыль за 2019 год</t>
  </si>
  <si>
    <t>Топливный брикет руб/тонна</t>
  </si>
  <si>
    <t>Стоимость удобрения (нитрат аммония) (2018 год), руб/тонна</t>
  </si>
  <si>
    <t>Стоимость удобрения (нитрат аммония) (2019 год), руб/тонна</t>
  </si>
  <si>
    <t xml:space="preserve">Продажа </t>
  </si>
  <si>
    <t>Производительность тонн в месяц</t>
  </si>
  <si>
    <t>Доставка оборудования (логистика)</t>
  </si>
  <si>
    <t>Руководство (3 сотрудника)</t>
  </si>
  <si>
    <t>ИТР+Рабочие (46 сотрудников)</t>
  </si>
  <si>
    <t>Оснащение производства (ПНР)</t>
  </si>
  <si>
    <t>Строительство  (монтаж)</t>
  </si>
  <si>
    <t>АРЕНДА офиса на период строительства</t>
  </si>
  <si>
    <t>Приобретение легкового автотранспорта</t>
  </si>
  <si>
    <t>Охрана объекта</t>
  </si>
  <si>
    <t>Клининговые услуги</t>
  </si>
  <si>
    <t>Прочие затраты (доп. работы, представительские расходы, незапланированные траты)</t>
  </si>
  <si>
    <t>Газомоторное топливо</t>
  </si>
  <si>
    <t>Транспортный налог</t>
  </si>
  <si>
    <t>Плата за неготивное воздействие на окружающую среду</t>
  </si>
  <si>
    <t>Налог на имущество(должно быть)</t>
  </si>
  <si>
    <t>амортизация ОС (линейный метод 120 мес.)</t>
  </si>
  <si>
    <t>Продажа топливный брикет 4 000 р/т</t>
  </si>
  <si>
    <t>Утилизационный сбор 160 р/т</t>
  </si>
  <si>
    <t>ДОПОЛНИТЕЛЬНАЯ ВЫРУЧКА:</t>
  </si>
  <si>
    <t>Приобретение автотехники (самосвальная, фр.погрузочная, легковая)</t>
  </si>
</sst>
</file>

<file path=xl/styles.xml><?xml version="1.0" encoding="utf-8"?>
<styleSheet xmlns="http://schemas.openxmlformats.org/spreadsheetml/2006/main">
  <numFmts count="2">
    <numFmt numFmtId="164" formatCode="#,##0_р_."/>
    <numFmt numFmtId="165" formatCode="#,##0.00_р_."/>
  </numFmts>
  <fonts count="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/>
    <xf numFmtId="165" fontId="0" fillId="0" borderId="0" xfId="0" applyNumberFormat="1" applyAlignment="1">
      <alignment horizontal="center"/>
    </xf>
    <xf numFmtId="0" fontId="0" fillId="0" borderId="0" xfId="0" applyFill="1"/>
    <xf numFmtId="10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9" fontId="3" fillId="6" borderId="0" xfId="0" applyNumberFormat="1" applyFont="1" applyFill="1"/>
    <xf numFmtId="0" fontId="0" fillId="0" borderId="0" xfId="0" applyBorder="1"/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9" fontId="3" fillId="7" borderId="7" xfId="0" applyNumberFormat="1" applyFont="1" applyFill="1" applyBorder="1"/>
    <xf numFmtId="0" fontId="0" fillId="0" borderId="7" xfId="0" applyBorder="1"/>
    <xf numFmtId="0" fontId="0" fillId="0" borderId="8" xfId="0" applyBorder="1"/>
    <xf numFmtId="0" fontId="2" fillId="7" borderId="9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9" fontId="3" fillId="7" borderId="0" xfId="0" applyNumberFormat="1" applyFont="1" applyFill="1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6" xfId="0" applyBorder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10" borderId="0" xfId="0" applyFill="1"/>
    <xf numFmtId="0" fontId="0" fillId="7" borderId="0" xfId="0" applyFill="1"/>
    <xf numFmtId="164" fontId="4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164" fontId="0" fillId="7" borderId="2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0" fillId="11" borderId="12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2" fillId="6" borderId="2" xfId="0" applyNumberFormat="1" applyFont="1" applyFill="1" applyBorder="1" applyAlignment="1">
      <alignment horizontal="center" vertical="center"/>
    </xf>
    <xf numFmtId="1" fontId="2" fillId="6" borderId="18" xfId="0" applyNumberFormat="1" applyFont="1" applyFill="1" applyBorder="1" applyAlignment="1">
      <alignment horizontal="center" vertical="center"/>
    </xf>
    <xf numFmtId="1" fontId="2" fillId="6" borderId="20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64" fontId="0" fillId="11" borderId="2" xfId="0" applyNumberFormat="1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10" borderId="2" xfId="0" applyNumberForma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164" fontId="0" fillId="11" borderId="23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164" fontId="0" fillId="7" borderId="23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164" fontId="0" fillId="2" borderId="23" xfId="0" applyNumberFormat="1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wrapText="1"/>
    </xf>
    <xf numFmtId="164" fontId="0" fillId="10" borderId="23" xfId="0" applyNumberFormat="1" applyFill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 wrapText="1"/>
    </xf>
    <xf numFmtId="164" fontId="2" fillId="4" borderId="27" xfId="0" applyNumberFormat="1" applyFont="1" applyFill="1" applyBorder="1" applyAlignment="1">
      <alignment horizontal="center" vertical="center"/>
    </xf>
    <xf numFmtId="164" fontId="2" fillId="4" borderId="20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64" fontId="0" fillId="11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10" borderId="3" xfId="0" applyNumberFormat="1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4" fontId="2" fillId="4" borderId="35" xfId="0" applyNumberFormat="1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9" borderId="2" xfId="0" applyNumberForma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164" fontId="0" fillId="11" borderId="12" xfId="0" applyNumberFormat="1" applyFill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2" xfId="0" applyFill="1" applyBorder="1"/>
    <xf numFmtId="164" fontId="0" fillId="7" borderId="12" xfId="0" applyNumberForma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164" fontId="0" fillId="10" borderId="12" xfId="0" applyNumberFormat="1" applyFill="1" applyBorder="1" applyAlignment="1">
      <alignment horizontal="center" vertical="center"/>
    </xf>
    <xf numFmtId="164" fontId="0" fillId="9" borderId="23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4" fontId="2" fillId="4" borderId="26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64" fontId="2" fillId="7" borderId="27" xfId="0" applyNumberFormat="1" applyFont="1" applyFill="1" applyBorder="1" applyAlignment="1">
      <alignment horizontal="center" vertical="center"/>
    </xf>
    <xf numFmtId="164" fontId="2" fillId="7" borderId="20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4" fontId="0" fillId="7" borderId="5" xfId="0" applyNumberFormat="1" applyFill="1" applyBorder="1" applyAlignment="1">
      <alignment horizontal="center" vertical="center"/>
    </xf>
    <xf numFmtId="164" fontId="2" fillId="7" borderId="33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64" fontId="2" fillId="3" borderId="27" xfId="0" applyNumberFormat="1" applyFont="1" applyFill="1" applyBorder="1" applyAlignment="1">
      <alignment horizontal="center" vertical="center"/>
    </xf>
    <xf numFmtId="164" fontId="2" fillId="3" borderId="20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64" fontId="2" fillId="3" borderId="2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0" fillId="8" borderId="11" xfId="0" applyNumberFormat="1" applyFill="1" applyBorder="1" applyAlignment="1">
      <alignment horizontal="center" vertical="center" wrapText="1"/>
    </xf>
    <xf numFmtId="49" fontId="0" fillId="8" borderId="4" xfId="0" applyNumberFormat="1" applyFill="1" applyBorder="1" applyAlignment="1">
      <alignment horizontal="center" vertical="center" wrapText="1"/>
    </xf>
    <xf numFmtId="49" fontId="0" fillId="8" borderId="5" xfId="0" applyNumberFormat="1" applyFill="1" applyBorder="1" applyAlignment="1">
      <alignment horizontal="center" vertical="center" wrapText="1"/>
    </xf>
    <xf numFmtId="49" fontId="0" fillId="8" borderId="30" xfId="0" applyNumberFormat="1" applyFill="1" applyBorder="1" applyAlignment="1">
      <alignment horizontal="center" vertical="center" wrapText="1"/>
    </xf>
    <xf numFmtId="49" fontId="0" fillId="8" borderId="31" xfId="0" applyNumberFormat="1" applyFill="1" applyBorder="1" applyAlignment="1">
      <alignment horizontal="center" vertical="center" wrapText="1"/>
    </xf>
    <xf numFmtId="49" fontId="0" fillId="8" borderId="32" xfId="0" applyNumberFormat="1" applyFill="1" applyBorder="1" applyAlignment="1">
      <alignment horizontal="center" vertical="center" wrapText="1"/>
    </xf>
    <xf numFmtId="49" fontId="0" fillId="8" borderId="24" xfId="0" applyNumberFormat="1" applyFill="1" applyBorder="1" applyAlignment="1">
      <alignment horizontal="center" vertical="center" wrapText="1"/>
    </xf>
    <xf numFmtId="49" fontId="0" fillId="8" borderId="25" xfId="0" applyNumberFormat="1" applyFill="1" applyBorder="1" applyAlignment="1">
      <alignment horizontal="center" vertical="center" wrapText="1"/>
    </xf>
    <xf numFmtId="49" fontId="0" fillId="8" borderId="33" xfId="0" applyNumberForma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8" borderId="3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3" fillId="6" borderId="0" xfId="0" applyFont="1" applyFill="1" applyAlignment="1">
      <alignment horizontal="center"/>
    </xf>
    <xf numFmtId="0" fontId="0" fillId="11" borderId="21" xfId="0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2"/>
  <sheetViews>
    <sheetView workbookViewId="0">
      <selection activeCell="E11" sqref="E11"/>
    </sheetView>
  </sheetViews>
  <sheetFormatPr defaultRowHeight="15"/>
  <cols>
    <col min="1" max="1" width="58.5703125" customWidth="1"/>
    <col min="2" max="2" width="15.42578125" style="4" customWidth="1"/>
    <col min="3" max="3" width="12.5703125" bestFit="1" customWidth="1"/>
  </cols>
  <sheetData>
    <row r="3" spans="1:3">
      <c r="A3" t="s">
        <v>28</v>
      </c>
      <c r="B3" s="4">
        <v>5</v>
      </c>
    </row>
    <row r="4" spans="1:3">
      <c r="A4" t="s">
        <v>29</v>
      </c>
      <c r="B4" s="4">
        <v>50</v>
      </c>
      <c r="C4" s="3"/>
    </row>
    <row r="6" spans="1:3">
      <c r="A6" t="s">
        <v>41</v>
      </c>
      <c r="B6" s="4">
        <v>800</v>
      </c>
      <c r="C6" s="3" t="s">
        <v>19</v>
      </c>
    </row>
    <row r="7" spans="1:3">
      <c r="A7" t="s">
        <v>40</v>
      </c>
      <c r="B7" s="4">
        <v>800</v>
      </c>
      <c r="C7" s="3" t="s">
        <v>19</v>
      </c>
    </row>
    <row r="8" spans="1:3">
      <c r="A8" t="s">
        <v>34</v>
      </c>
      <c r="B8" s="4">
        <v>160</v>
      </c>
    </row>
    <row r="9" spans="1:3">
      <c r="A9" t="s">
        <v>39</v>
      </c>
      <c r="B9" s="4">
        <v>4000</v>
      </c>
    </row>
    <row r="10" spans="1:3">
      <c r="A10" t="s">
        <v>32</v>
      </c>
      <c r="B10" s="4">
        <f>'Денежный поток'!B30</f>
        <v>381262.57</v>
      </c>
    </row>
    <row r="11" spans="1:3">
      <c r="A11" t="s">
        <v>11</v>
      </c>
      <c r="B11" s="6">
        <v>0</v>
      </c>
    </row>
    <row r="12" spans="1:3">
      <c r="A12" t="s">
        <v>12</v>
      </c>
      <c r="B12" s="4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1"/>
  <sheetViews>
    <sheetView tabSelected="1" topLeftCell="C13" workbookViewId="0">
      <selection activeCell="N19" sqref="N19"/>
    </sheetView>
  </sheetViews>
  <sheetFormatPr defaultRowHeight="15"/>
  <cols>
    <col min="1" max="1" width="35.42578125" style="25" customWidth="1"/>
    <col min="2" max="2" width="12.28515625" customWidth="1"/>
    <col min="3" max="3" width="10.28515625" customWidth="1"/>
    <col min="4" max="5" width="11.85546875" customWidth="1"/>
    <col min="6" max="6" width="11.5703125" customWidth="1"/>
    <col min="7" max="7" width="11.42578125" customWidth="1"/>
    <col min="8" max="8" width="11" customWidth="1"/>
    <col min="9" max="9" width="11.28515625" customWidth="1"/>
    <col min="10" max="10" width="11" customWidth="1"/>
    <col min="11" max="11" width="11.5703125" customWidth="1"/>
    <col min="12" max="12" width="11.7109375" customWidth="1"/>
    <col min="13" max="13" width="13.7109375" customWidth="1"/>
    <col min="14" max="14" width="12.85546875" customWidth="1"/>
    <col min="15" max="15" width="11.7109375" customWidth="1"/>
    <col min="16" max="16" width="12" customWidth="1"/>
    <col min="17" max="17" width="12.42578125" customWidth="1"/>
    <col min="18" max="18" width="11.42578125" customWidth="1"/>
    <col min="19" max="19" width="11.7109375" customWidth="1"/>
    <col min="20" max="20" width="10.7109375" customWidth="1"/>
    <col min="21" max="21" width="11.42578125" customWidth="1"/>
    <col min="22" max="22" width="11" customWidth="1"/>
    <col min="23" max="23" width="11.140625" customWidth="1"/>
    <col min="24" max="24" width="10.85546875" customWidth="1"/>
    <col min="25" max="25" width="10.5703125" customWidth="1"/>
    <col min="26" max="26" width="12" customWidth="1"/>
  </cols>
  <sheetData>
    <row r="1" spans="1:26" ht="18.75">
      <c r="A1" s="24" t="s">
        <v>16</v>
      </c>
    </row>
    <row r="2" spans="1:26" ht="15.75" thickBot="1"/>
    <row r="3" spans="1:26">
      <c r="A3" s="130" t="s">
        <v>2</v>
      </c>
      <c r="B3" s="128" t="s">
        <v>5</v>
      </c>
      <c r="C3" s="124" t="s">
        <v>30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5"/>
      <c r="O3" s="126" t="s">
        <v>37</v>
      </c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7"/>
    </row>
    <row r="4" spans="1:26" s="2" customFormat="1" ht="21.6" customHeight="1">
      <c r="A4" s="131"/>
      <c r="B4" s="129"/>
      <c r="C4" s="59">
        <v>1</v>
      </c>
      <c r="D4" s="59">
        <v>2</v>
      </c>
      <c r="E4" s="59">
        <v>3</v>
      </c>
      <c r="F4" s="59">
        <v>4</v>
      </c>
      <c r="G4" s="59">
        <v>5</v>
      </c>
      <c r="H4" s="59">
        <v>6</v>
      </c>
      <c r="I4" s="59">
        <v>7</v>
      </c>
      <c r="J4" s="59">
        <v>8</v>
      </c>
      <c r="K4" s="59">
        <v>9</v>
      </c>
      <c r="L4" s="59">
        <v>10</v>
      </c>
      <c r="M4" s="59">
        <v>11</v>
      </c>
      <c r="N4" s="82">
        <v>12</v>
      </c>
      <c r="O4" s="94">
        <v>1</v>
      </c>
      <c r="P4" s="59">
        <v>2</v>
      </c>
      <c r="Q4" s="59">
        <v>3</v>
      </c>
      <c r="R4" s="59">
        <v>4</v>
      </c>
      <c r="S4" s="59">
        <v>5</v>
      </c>
      <c r="T4" s="59">
        <v>6</v>
      </c>
      <c r="U4" s="59">
        <v>7</v>
      </c>
      <c r="V4" s="59">
        <v>8</v>
      </c>
      <c r="W4" s="59">
        <v>9</v>
      </c>
      <c r="X4" s="59">
        <v>10</v>
      </c>
      <c r="Y4" s="59">
        <v>11</v>
      </c>
      <c r="Z4" s="67">
        <v>12</v>
      </c>
    </row>
    <row r="5" spans="1:26">
      <c r="A5" s="41" t="s">
        <v>6</v>
      </c>
      <c r="B5" s="60">
        <f>SUM(H5:Z5)</f>
        <v>380294.1</v>
      </c>
      <c r="C5" s="61"/>
      <c r="D5" s="61"/>
      <c r="E5" s="61"/>
      <c r="F5" s="61"/>
      <c r="G5" s="61"/>
      <c r="H5" s="60">
        <f t="shared" ref="H5" si="0">H6+H7+H8+H9+H10+H11+H12+H13+H14+H15+H18+H19</f>
        <v>40382</v>
      </c>
      <c r="I5" s="60">
        <f t="shared" ref="I5" si="1">I6+I7+I8+I9+I10+I11+I12+I13+I14+I15+I18+I19</f>
        <v>25532</v>
      </c>
      <c r="J5" s="60">
        <f t="shared" ref="J5" si="2">J6+J7+J8+J9+J10+J11+J12+J13+J14+J15+J18+J19</f>
        <v>147032</v>
      </c>
      <c r="K5" s="60">
        <f t="shared" ref="K5" si="3">K6+K7+K8+K9+K10+K11+K12+K13+K14+K15+K18+K19</f>
        <v>4702.1000000000004</v>
      </c>
      <c r="L5" s="60">
        <f t="shared" ref="L5" si="4">L6+L7+L8+L9+L10+L11+L12+L13+L14+L15+L18+L19</f>
        <v>118932</v>
      </c>
      <c r="M5" s="60">
        <f t="shared" ref="M5" si="5">M6+M7+M8+M9+M10+M11+M12+M13+M14+M15+M18+M19</f>
        <v>5232</v>
      </c>
      <c r="N5" s="83">
        <f t="shared" ref="N5" si="6">N6+N7+N8+N9+N10+N11+N12+N13+N14+N15+N18+N19</f>
        <v>38482</v>
      </c>
      <c r="O5" s="95"/>
      <c r="P5" s="60"/>
      <c r="Q5" s="60"/>
      <c r="R5" s="60"/>
      <c r="S5" s="60"/>
      <c r="T5" s="60"/>
      <c r="U5" s="60"/>
      <c r="V5" s="60"/>
      <c r="W5" s="60"/>
      <c r="X5" s="60"/>
      <c r="Y5" s="60"/>
      <c r="Z5" s="68"/>
    </row>
    <row r="6" spans="1:26">
      <c r="A6" s="69" t="s">
        <v>1</v>
      </c>
      <c r="B6" s="62">
        <f>SUM(E6:Z6)</f>
        <v>25300</v>
      </c>
      <c r="C6" s="50"/>
      <c r="D6" s="50"/>
      <c r="E6" s="62"/>
      <c r="F6" s="62"/>
      <c r="G6" s="62"/>
      <c r="H6" s="62">
        <v>2300</v>
      </c>
      <c r="I6" s="62">
        <v>23000</v>
      </c>
      <c r="J6" s="62"/>
      <c r="K6" s="62"/>
      <c r="L6" s="62"/>
      <c r="M6" s="62"/>
      <c r="N6" s="84"/>
      <c r="O6" s="96"/>
      <c r="P6" s="62"/>
      <c r="Q6" s="62"/>
      <c r="R6" s="62"/>
      <c r="S6" s="62"/>
      <c r="T6" s="62"/>
      <c r="U6" s="62"/>
      <c r="V6" s="62"/>
      <c r="W6" s="62"/>
      <c r="X6" s="62"/>
      <c r="Y6" s="62"/>
      <c r="Z6" s="70"/>
    </row>
    <row r="7" spans="1:26">
      <c r="A7" s="69" t="s">
        <v>0</v>
      </c>
      <c r="B7" s="62">
        <f>SUM(F7:Z7)</f>
        <v>230000</v>
      </c>
      <c r="C7" s="50"/>
      <c r="D7" s="50"/>
      <c r="E7" s="50"/>
      <c r="F7" s="62"/>
      <c r="G7" s="62"/>
      <c r="H7" s="62"/>
      <c r="I7" s="38"/>
      <c r="J7" s="38">
        <v>115000</v>
      </c>
      <c r="K7" s="38">
        <v>0</v>
      </c>
      <c r="L7" s="38">
        <v>115000</v>
      </c>
      <c r="M7" s="38"/>
      <c r="N7" s="84"/>
      <c r="O7" s="96"/>
      <c r="P7" s="62"/>
      <c r="Q7" s="62"/>
      <c r="R7" s="62"/>
      <c r="S7" s="62"/>
      <c r="T7" s="62"/>
      <c r="U7" s="62"/>
      <c r="V7" s="62"/>
      <c r="W7" s="62"/>
      <c r="X7" s="62"/>
      <c r="Y7" s="62"/>
      <c r="Z7" s="70"/>
    </row>
    <row r="8" spans="1:26">
      <c r="A8" s="69" t="s">
        <v>48</v>
      </c>
      <c r="B8" s="62">
        <f>SUM(H8:Z8)</f>
        <v>61500</v>
      </c>
      <c r="C8" s="50"/>
      <c r="D8" s="50"/>
      <c r="E8" s="50"/>
      <c r="F8" s="50"/>
      <c r="G8" s="50"/>
      <c r="H8" s="62">
        <v>30000</v>
      </c>
      <c r="I8" s="62"/>
      <c r="J8" s="62">
        <v>30000</v>
      </c>
      <c r="K8" s="62"/>
      <c r="L8" s="62">
        <v>1500</v>
      </c>
      <c r="M8" s="62"/>
      <c r="N8" s="84"/>
      <c r="O8" s="96"/>
      <c r="P8" s="62"/>
      <c r="Q8" s="62"/>
      <c r="R8" s="62"/>
      <c r="S8" s="62"/>
      <c r="T8" s="62"/>
      <c r="U8" s="62"/>
      <c r="V8" s="62"/>
      <c r="W8" s="62"/>
      <c r="X8" s="62"/>
      <c r="Y8" s="62"/>
      <c r="Z8" s="70"/>
    </row>
    <row r="9" spans="1:26">
      <c r="A9" s="69" t="s">
        <v>44</v>
      </c>
      <c r="B9" s="62">
        <f t="shared" ref="B9:B13" si="7">SUM(C9:Z9)</f>
        <v>1200</v>
      </c>
      <c r="C9" s="62"/>
      <c r="D9" s="50"/>
      <c r="E9" s="62"/>
      <c r="F9" s="62"/>
      <c r="G9" s="62"/>
      <c r="H9" s="62"/>
      <c r="I9" s="62"/>
      <c r="J9" s="62"/>
      <c r="K9" s="62">
        <v>1200</v>
      </c>
      <c r="L9" s="62"/>
      <c r="M9" s="62"/>
      <c r="N9" s="84"/>
      <c r="O9" s="96"/>
      <c r="P9" s="62"/>
      <c r="Q9" s="62"/>
      <c r="R9" s="62"/>
      <c r="S9" s="62"/>
      <c r="T9" s="62"/>
      <c r="U9" s="62"/>
      <c r="V9" s="62"/>
      <c r="W9" s="62"/>
      <c r="X9" s="62"/>
      <c r="Y9" s="62"/>
      <c r="Z9" s="70"/>
    </row>
    <row r="10" spans="1:26">
      <c r="A10" s="69" t="s">
        <v>47</v>
      </c>
      <c r="B10" s="62">
        <f>SUM(G10:Z10)</f>
        <v>13800</v>
      </c>
      <c r="C10" s="50"/>
      <c r="D10" s="50"/>
      <c r="E10" s="50"/>
      <c r="F10" s="50"/>
      <c r="G10" s="62"/>
      <c r="H10" s="62"/>
      <c r="I10" s="62"/>
      <c r="J10" s="62"/>
      <c r="K10" s="62"/>
      <c r="L10" s="62">
        <v>300</v>
      </c>
      <c r="M10" s="62"/>
      <c r="N10" s="84">
        <v>13500</v>
      </c>
      <c r="O10" s="97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70"/>
    </row>
    <row r="11" spans="1:26" ht="45">
      <c r="A11" s="71" t="s">
        <v>53</v>
      </c>
      <c r="B11" s="62">
        <f>SUM(H11:Z11)</f>
        <v>12050</v>
      </c>
      <c r="C11" s="50"/>
      <c r="D11" s="50"/>
      <c r="E11" s="50"/>
      <c r="F11" s="50"/>
      <c r="G11" s="50"/>
      <c r="H11" s="62">
        <v>5550</v>
      </c>
      <c r="I11" s="62">
        <v>1500</v>
      </c>
      <c r="J11" s="62">
        <v>1000</v>
      </c>
      <c r="K11" s="62">
        <v>1000</v>
      </c>
      <c r="L11" s="62">
        <v>1000</v>
      </c>
      <c r="M11" s="62">
        <v>1000</v>
      </c>
      <c r="N11" s="84">
        <v>1000</v>
      </c>
      <c r="O11" s="96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70"/>
    </row>
    <row r="12" spans="1:26">
      <c r="A12" s="72" t="s">
        <v>3</v>
      </c>
      <c r="B12" s="38">
        <f t="shared" si="7"/>
        <v>2570.1</v>
      </c>
      <c r="C12" s="38"/>
      <c r="D12" s="38"/>
      <c r="E12" s="63"/>
      <c r="F12" s="63"/>
      <c r="G12" s="63"/>
      <c r="H12" s="63"/>
      <c r="I12" s="63"/>
      <c r="J12" s="63"/>
      <c r="K12" s="38">
        <v>1470.1</v>
      </c>
      <c r="L12" s="38">
        <v>100</v>
      </c>
      <c r="M12" s="38">
        <v>200</v>
      </c>
      <c r="N12" s="85">
        <v>800</v>
      </c>
      <c r="O12" s="98"/>
      <c r="P12" s="63"/>
      <c r="Q12" s="38"/>
      <c r="R12" s="63"/>
      <c r="S12" s="38"/>
      <c r="T12" s="63"/>
      <c r="U12" s="38"/>
      <c r="V12" s="38"/>
      <c r="W12" s="38"/>
      <c r="X12" s="38"/>
      <c r="Y12" s="38"/>
      <c r="Z12" s="73"/>
    </row>
    <row r="13" spans="1:26">
      <c r="A13" s="72" t="s">
        <v>4</v>
      </c>
      <c r="B13" s="38">
        <f t="shared" si="7"/>
        <v>300</v>
      </c>
      <c r="C13" s="38"/>
      <c r="D13" s="38"/>
      <c r="E13" s="63"/>
      <c r="F13" s="63"/>
      <c r="G13" s="63"/>
      <c r="H13" s="63"/>
      <c r="I13" s="63"/>
      <c r="J13" s="63"/>
      <c r="K13" s="63"/>
      <c r="L13" s="63"/>
      <c r="M13" s="63"/>
      <c r="N13" s="85">
        <v>150</v>
      </c>
      <c r="O13" s="99"/>
      <c r="P13" s="38"/>
      <c r="Q13" s="38"/>
      <c r="R13" s="38"/>
      <c r="S13" s="38"/>
      <c r="T13" s="63"/>
      <c r="U13" s="38">
        <v>150</v>
      </c>
      <c r="V13" s="38"/>
      <c r="W13" s="38"/>
      <c r="X13" s="38"/>
      <c r="Y13" s="38"/>
      <c r="Z13" s="73"/>
    </row>
    <row r="14" spans="1:26">
      <c r="A14" s="72" t="s">
        <v>31</v>
      </c>
      <c r="B14" s="38">
        <f>SUM(C14:Z14)</f>
        <v>2160</v>
      </c>
      <c r="C14" s="38"/>
      <c r="D14" s="38"/>
      <c r="E14" s="38"/>
      <c r="F14" s="38"/>
      <c r="G14" s="38"/>
      <c r="H14" s="38"/>
      <c r="I14" s="38"/>
      <c r="J14" s="38"/>
      <c r="K14" s="63"/>
      <c r="L14" s="63"/>
      <c r="M14" s="63"/>
      <c r="N14" s="85"/>
      <c r="O14" s="100">
        <f>'Вводные данные'!$B$3*24*30*'Вводные данные'!$B$4/1000</f>
        <v>180</v>
      </c>
      <c r="P14" s="38">
        <f>'Вводные данные'!$B$3*24*30*'Вводные данные'!$B$4/1000</f>
        <v>180</v>
      </c>
      <c r="Q14" s="38">
        <f>'Вводные данные'!$B$3*24*30*'Вводные данные'!$B$4/1000</f>
        <v>180</v>
      </c>
      <c r="R14" s="38">
        <f>'Вводные данные'!$B$3*24*30*'Вводные данные'!$B$4/1000</f>
        <v>180</v>
      </c>
      <c r="S14" s="38">
        <f>'Вводные данные'!$B$3*24*30*'Вводные данные'!$B$4/1000</f>
        <v>180</v>
      </c>
      <c r="T14" s="38">
        <f>'Вводные данные'!$B$3*24*30*'Вводные данные'!$B$4/1000</f>
        <v>180</v>
      </c>
      <c r="U14" s="38">
        <f>'Вводные данные'!$B$3*24*30*'Вводные данные'!$B$4/1000</f>
        <v>180</v>
      </c>
      <c r="V14" s="38">
        <f>'Вводные данные'!$B$3*24*30*'Вводные данные'!$B$4/1000</f>
        <v>180</v>
      </c>
      <c r="W14" s="38">
        <f>'Вводные данные'!$B$3*24*30*'Вводные данные'!$B$4/1000</f>
        <v>180</v>
      </c>
      <c r="X14" s="38">
        <f>'Вводные данные'!$B$3*24*30*'Вводные данные'!$B$4/1000</f>
        <v>180</v>
      </c>
      <c r="Y14" s="38">
        <f>'Вводные данные'!$B$3*24*30*'Вводные данные'!$B$4/1000</f>
        <v>180</v>
      </c>
      <c r="Z14" s="73">
        <f>'Вводные данные'!$B$3*24*30*'Вводные данные'!$B$4/1000</f>
        <v>180</v>
      </c>
    </row>
    <row r="15" spans="1:26">
      <c r="A15" s="74" t="s">
        <v>20</v>
      </c>
      <c r="B15" s="64">
        <f>SUM(C15:Z15)</f>
        <v>39884</v>
      </c>
      <c r="C15" s="64"/>
      <c r="D15" s="64"/>
      <c r="E15" s="64"/>
      <c r="F15" s="64"/>
      <c r="G15" s="64"/>
      <c r="H15" s="64">
        <f t="shared" ref="H15:Z15" si="8">SUM(H16:H17)</f>
        <v>932</v>
      </c>
      <c r="I15" s="64">
        <f t="shared" si="8"/>
        <v>932</v>
      </c>
      <c r="J15" s="64">
        <f t="shared" si="8"/>
        <v>932</v>
      </c>
      <c r="K15" s="64">
        <f t="shared" si="8"/>
        <v>932</v>
      </c>
      <c r="L15" s="64">
        <f t="shared" si="8"/>
        <v>932</v>
      </c>
      <c r="M15" s="64">
        <f t="shared" si="8"/>
        <v>932</v>
      </c>
      <c r="N15" s="86">
        <f t="shared" si="8"/>
        <v>932</v>
      </c>
      <c r="O15" s="101">
        <f t="shared" si="8"/>
        <v>2780</v>
      </c>
      <c r="P15" s="64">
        <f t="shared" si="8"/>
        <v>2780</v>
      </c>
      <c r="Q15" s="64">
        <f t="shared" si="8"/>
        <v>2780</v>
      </c>
      <c r="R15" s="64">
        <f t="shared" si="8"/>
        <v>2780</v>
      </c>
      <c r="S15" s="64">
        <f t="shared" si="8"/>
        <v>2780</v>
      </c>
      <c r="T15" s="64">
        <f t="shared" si="8"/>
        <v>2780</v>
      </c>
      <c r="U15" s="64">
        <f t="shared" si="8"/>
        <v>2780</v>
      </c>
      <c r="V15" s="64">
        <f t="shared" si="8"/>
        <v>2780</v>
      </c>
      <c r="W15" s="64">
        <f t="shared" si="8"/>
        <v>2780</v>
      </c>
      <c r="X15" s="64">
        <f t="shared" si="8"/>
        <v>2780</v>
      </c>
      <c r="Y15" s="64">
        <f t="shared" si="8"/>
        <v>2780</v>
      </c>
      <c r="Z15" s="75">
        <f t="shared" si="8"/>
        <v>2780</v>
      </c>
    </row>
    <row r="16" spans="1:26">
      <c r="A16" s="69" t="s">
        <v>46</v>
      </c>
      <c r="B16" s="62">
        <f t="shared" ref="B16:B17" si="9">SUM(C16:Z16)</f>
        <v>25634</v>
      </c>
      <c r="C16" s="62"/>
      <c r="D16" s="62"/>
      <c r="E16" s="62"/>
      <c r="F16" s="62"/>
      <c r="G16" s="62"/>
      <c r="H16" s="62">
        <v>182</v>
      </c>
      <c r="I16" s="62">
        <v>182</v>
      </c>
      <c r="J16" s="62">
        <v>182</v>
      </c>
      <c r="K16" s="62">
        <v>182</v>
      </c>
      <c r="L16" s="62">
        <v>182</v>
      </c>
      <c r="M16" s="62">
        <v>182</v>
      </c>
      <c r="N16" s="84">
        <v>182</v>
      </c>
      <c r="O16" s="96">
        <v>2030</v>
      </c>
      <c r="P16" s="62">
        <v>2030</v>
      </c>
      <c r="Q16" s="62">
        <v>2030</v>
      </c>
      <c r="R16" s="62">
        <v>2030</v>
      </c>
      <c r="S16" s="62">
        <v>2030</v>
      </c>
      <c r="T16" s="62">
        <v>2030</v>
      </c>
      <c r="U16" s="62">
        <v>2030</v>
      </c>
      <c r="V16" s="62">
        <v>2030</v>
      </c>
      <c r="W16" s="62">
        <v>2030</v>
      </c>
      <c r="X16" s="62">
        <v>2030</v>
      </c>
      <c r="Y16" s="62">
        <v>2030</v>
      </c>
      <c r="Z16" s="70">
        <v>2030</v>
      </c>
    </row>
    <row r="17" spans="1:26">
      <c r="A17" s="69" t="s">
        <v>45</v>
      </c>
      <c r="B17" s="62">
        <f t="shared" si="9"/>
        <v>14250</v>
      </c>
      <c r="C17" s="62"/>
      <c r="D17" s="62"/>
      <c r="E17" s="62"/>
      <c r="F17" s="62"/>
      <c r="G17" s="62"/>
      <c r="H17" s="62">
        <v>750</v>
      </c>
      <c r="I17" s="62">
        <v>750</v>
      </c>
      <c r="J17" s="62">
        <v>750</v>
      </c>
      <c r="K17" s="62">
        <v>750</v>
      </c>
      <c r="L17" s="62">
        <v>750</v>
      </c>
      <c r="M17" s="62">
        <v>750</v>
      </c>
      <c r="N17" s="84">
        <v>750</v>
      </c>
      <c r="O17" s="96">
        <v>750</v>
      </c>
      <c r="P17" s="62">
        <v>750</v>
      </c>
      <c r="Q17" s="62">
        <v>750</v>
      </c>
      <c r="R17" s="62">
        <v>750</v>
      </c>
      <c r="S17" s="62">
        <v>750</v>
      </c>
      <c r="T17" s="62">
        <v>750</v>
      </c>
      <c r="U17" s="62">
        <v>750</v>
      </c>
      <c r="V17" s="62">
        <v>750</v>
      </c>
      <c r="W17" s="62">
        <v>750</v>
      </c>
      <c r="X17" s="62">
        <v>750</v>
      </c>
      <c r="Y17" s="62">
        <v>750</v>
      </c>
      <c r="Z17" s="70">
        <v>750</v>
      </c>
    </row>
    <row r="18" spans="1:26" ht="30">
      <c r="A18" s="72" t="s">
        <v>49</v>
      </c>
      <c r="B18" s="38">
        <f>SUM(C18:Z18)</f>
        <v>1100</v>
      </c>
      <c r="C18" s="38"/>
      <c r="D18" s="38"/>
      <c r="E18" s="38"/>
      <c r="F18" s="38"/>
      <c r="G18" s="38"/>
      <c r="H18" s="38">
        <v>100</v>
      </c>
      <c r="I18" s="38">
        <v>100</v>
      </c>
      <c r="J18" s="38">
        <v>100</v>
      </c>
      <c r="K18" s="38">
        <v>100</v>
      </c>
      <c r="L18" s="38">
        <v>100</v>
      </c>
      <c r="M18" s="38">
        <v>100</v>
      </c>
      <c r="N18" s="85">
        <v>100</v>
      </c>
      <c r="O18" s="100">
        <v>100</v>
      </c>
      <c r="P18" s="38">
        <v>100</v>
      </c>
      <c r="Q18" s="38">
        <v>100</v>
      </c>
      <c r="R18" s="38">
        <v>100</v>
      </c>
      <c r="S18" s="38"/>
      <c r="T18" s="38"/>
      <c r="U18" s="38"/>
      <c r="V18" s="38"/>
      <c r="W18" s="38"/>
      <c r="X18" s="38"/>
      <c r="Y18" s="38"/>
      <c r="Z18" s="73"/>
    </row>
    <row r="19" spans="1:26" ht="45">
      <c r="A19" s="72" t="s">
        <v>62</v>
      </c>
      <c r="B19" s="38">
        <f>SUM(C19:Z19)</f>
        <v>26500</v>
      </c>
      <c r="C19" s="38"/>
      <c r="D19" s="38"/>
      <c r="E19" s="38"/>
      <c r="F19" s="38"/>
      <c r="G19" s="38"/>
      <c r="H19" s="38">
        <v>1500</v>
      </c>
      <c r="I19" s="38"/>
      <c r="J19" s="38"/>
      <c r="K19" s="38"/>
      <c r="L19" s="38"/>
      <c r="M19" s="38">
        <v>3000</v>
      </c>
      <c r="N19" s="85">
        <v>22000</v>
      </c>
      <c r="O19" s="100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73"/>
    </row>
    <row r="20" spans="1:26">
      <c r="A20" s="72" t="s">
        <v>51</v>
      </c>
      <c r="B20" s="38">
        <f t="shared" ref="B20:B21" si="10">SUM(C20:Z20)</f>
        <v>3000</v>
      </c>
      <c r="C20" s="63"/>
      <c r="D20" s="63"/>
      <c r="E20" s="63"/>
      <c r="F20" s="63"/>
      <c r="G20" s="63"/>
      <c r="H20" s="38"/>
      <c r="I20" s="38"/>
      <c r="J20" s="38"/>
      <c r="K20" s="38"/>
      <c r="L20" s="38">
        <v>200</v>
      </c>
      <c r="M20" s="38">
        <v>200</v>
      </c>
      <c r="N20" s="85">
        <v>200</v>
      </c>
      <c r="O20" s="100">
        <v>200</v>
      </c>
      <c r="P20" s="38">
        <v>200</v>
      </c>
      <c r="Q20" s="38">
        <v>200</v>
      </c>
      <c r="R20" s="38">
        <v>200</v>
      </c>
      <c r="S20" s="38">
        <v>200</v>
      </c>
      <c r="T20" s="38">
        <v>200</v>
      </c>
      <c r="U20" s="38">
        <v>200</v>
      </c>
      <c r="V20" s="38">
        <v>200</v>
      </c>
      <c r="W20" s="38">
        <v>200</v>
      </c>
      <c r="X20" s="38">
        <v>200</v>
      </c>
      <c r="Y20" s="38">
        <v>200</v>
      </c>
      <c r="Z20" s="73">
        <v>200</v>
      </c>
    </row>
    <row r="21" spans="1:26">
      <c r="A21" s="72" t="s">
        <v>52</v>
      </c>
      <c r="B21" s="38">
        <f t="shared" si="10"/>
        <v>1650</v>
      </c>
      <c r="C21" s="63"/>
      <c r="D21" s="63"/>
      <c r="E21" s="63"/>
      <c r="F21" s="63"/>
      <c r="G21" s="63"/>
      <c r="H21" s="38"/>
      <c r="I21" s="38"/>
      <c r="J21" s="38"/>
      <c r="K21" s="38"/>
      <c r="L21" s="38"/>
      <c r="M21" s="38"/>
      <c r="N21" s="85"/>
      <c r="O21" s="100"/>
      <c r="P21" s="38">
        <v>150</v>
      </c>
      <c r="Q21" s="38">
        <v>150</v>
      </c>
      <c r="R21" s="38">
        <v>150</v>
      </c>
      <c r="S21" s="38">
        <v>150</v>
      </c>
      <c r="T21" s="38">
        <v>150</v>
      </c>
      <c r="U21" s="38">
        <v>150</v>
      </c>
      <c r="V21" s="38">
        <v>150</v>
      </c>
      <c r="W21" s="38">
        <v>150</v>
      </c>
      <c r="X21" s="38">
        <v>150</v>
      </c>
      <c r="Y21" s="38">
        <v>150</v>
      </c>
      <c r="Z21" s="73">
        <v>150</v>
      </c>
    </row>
    <row r="22" spans="1:26" s="28" customFormat="1">
      <c r="A22" s="76" t="s">
        <v>13</v>
      </c>
      <c r="B22" s="65">
        <f>SUM(C22:Z22)</f>
        <v>240000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87">
        <v>0</v>
      </c>
      <c r="O22" s="102">
        <v>20000</v>
      </c>
      <c r="P22" s="65">
        <v>20000</v>
      </c>
      <c r="Q22" s="65">
        <v>20000</v>
      </c>
      <c r="R22" s="65">
        <v>20000</v>
      </c>
      <c r="S22" s="65">
        <v>20000</v>
      </c>
      <c r="T22" s="65">
        <v>20000</v>
      </c>
      <c r="U22" s="65">
        <v>20000</v>
      </c>
      <c r="V22" s="65">
        <v>20000</v>
      </c>
      <c r="W22" s="65">
        <v>20000</v>
      </c>
      <c r="X22" s="65">
        <v>20000</v>
      </c>
      <c r="Y22" s="65">
        <v>20000</v>
      </c>
      <c r="Z22" s="77">
        <v>20000</v>
      </c>
    </row>
    <row r="23" spans="1:26">
      <c r="A23" s="74" t="s">
        <v>10</v>
      </c>
      <c r="B23" s="64">
        <f>SUM(C23:Z23)</f>
        <v>12769.740000000002</v>
      </c>
      <c r="C23" s="64">
        <v>0</v>
      </c>
      <c r="D23" s="64">
        <f>SUM(D24:D26)</f>
        <v>0</v>
      </c>
      <c r="E23" s="64">
        <v>0</v>
      </c>
      <c r="F23" s="64">
        <v>0</v>
      </c>
      <c r="G23" s="64">
        <v>0</v>
      </c>
      <c r="H23" s="64">
        <f>H25+H24</f>
        <v>384.77</v>
      </c>
      <c r="I23" s="64">
        <f t="shared" ref="I23:Z23" si="11">I25+I24</f>
        <v>279.59999999999997</v>
      </c>
      <c r="J23" s="64">
        <f t="shared" si="11"/>
        <v>279.59999999999997</v>
      </c>
      <c r="K23" s="64">
        <f t="shared" si="11"/>
        <v>390.34999999999997</v>
      </c>
      <c r="L23" s="64">
        <f t="shared" si="11"/>
        <v>279.59999999999997</v>
      </c>
      <c r="M23" s="64">
        <f t="shared" si="11"/>
        <v>279.59999999999997</v>
      </c>
      <c r="N23" s="86">
        <f t="shared" si="11"/>
        <v>429.54999999999995</v>
      </c>
      <c r="O23" s="101">
        <f t="shared" si="11"/>
        <v>834</v>
      </c>
      <c r="P23" s="64">
        <f t="shared" si="11"/>
        <v>834</v>
      </c>
      <c r="Q23" s="64">
        <f t="shared" si="11"/>
        <v>941.94</v>
      </c>
      <c r="R23" s="64">
        <f t="shared" si="11"/>
        <v>834</v>
      </c>
      <c r="S23" s="64">
        <f t="shared" si="11"/>
        <v>834</v>
      </c>
      <c r="T23" s="64">
        <f t="shared" si="11"/>
        <v>944.43000000000006</v>
      </c>
      <c r="U23" s="64">
        <f t="shared" si="11"/>
        <v>834</v>
      </c>
      <c r="V23" s="64">
        <f t="shared" si="11"/>
        <v>834</v>
      </c>
      <c r="W23" s="64">
        <f t="shared" si="11"/>
        <v>944.44</v>
      </c>
      <c r="X23" s="64">
        <f t="shared" si="11"/>
        <v>834</v>
      </c>
      <c r="Y23" s="64">
        <f t="shared" si="11"/>
        <v>834</v>
      </c>
      <c r="Z23" s="75">
        <f t="shared" si="11"/>
        <v>943.86</v>
      </c>
    </row>
    <row r="24" spans="1:26">
      <c r="A24" s="69" t="s">
        <v>27</v>
      </c>
      <c r="B24" s="62">
        <f>SUM(C24:Z24)</f>
        <v>11965.599999999999</v>
      </c>
      <c r="C24" s="62">
        <f>C15*30%</f>
        <v>0</v>
      </c>
      <c r="D24" s="62">
        <f>D15*30%</f>
        <v>0</v>
      </c>
      <c r="E24" s="62">
        <f>E15*30%</f>
        <v>0</v>
      </c>
      <c r="F24" s="62">
        <f>F15*30%</f>
        <v>0</v>
      </c>
      <c r="G24" s="62">
        <f>G15*30%</f>
        <v>0</v>
      </c>
      <c r="H24" s="62">
        <v>280</v>
      </c>
      <c r="I24" s="62">
        <f t="shared" ref="I24:Z24" si="12">I15*30%</f>
        <v>279.59999999999997</v>
      </c>
      <c r="J24" s="62">
        <f t="shared" si="12"/>
        <v>279.59999999999997</v>
      </c>
      <c r="K24" s="62">
        <f t="shared" si="12"/>
        <v>279.59999999999997</v>
      </c>
      <c r="L24" s="62">
        <f t="shared" si="12"/>
        <v>279.59999999999997</v>
      </c>
      <c r="M24" s="62">
        <f t="shared" si="12"/>
        <v>279.59999999999997</v>
      </c>
      <c r="N24" s="84">
        <f t="shared" si="12"/>
        <v>279.59999999999997</v>
      </c>
      <c r="O24" s="96">
        <f t="shared" si="12"/>
        <v>834</v>
      </c>
      <c r="P24" s="62">
        <f t="shared" si="12"/>
        <v>834</v>
      </c>
      <c r="Q24" s="62">
        <f t="shared" si="12"/>
        <v>834</v>
      </c>
      <c r="R24" s="62">
        <f t="shared" si="12"/>
        <v>834</v>
      </c>
      <c r="S24" s="62">
        <f t="shared" si="12"/>
        <v>834</v>
      </c>
      <c r="T24" s="62">
        <f t="shared" si="12"/>
        <v>834</v>
      </c>
      <c r="U24" s="62">
        <f t="shared" si="12"/>
        <v>834</v>
      </c>
      <c r="V24" s="62">
        <f t="shared" si="12"/>
        <v>834</v>
      </c>
      <c r="W24" s="62">
        <f t="shared" si="12"/>
        <v>834</v>
      </c>
      <c r="X24" s="62">
        <f t="shared" si="12"/>
        <v>834</v>
      </c>
      <c r="Y24" s="62">
        <f t="shared" si="12"/>
        <v>834</v>
      </c>
      <c r="Z24" s="70">
        <f t="shared" si="12"/>
        <v>834</v>
      </c>
    </row>
    <row r="25" spans="1:26">
      <c r="A25" s="71" t="s">
        <v>57</v>
      </c>
      <c r="B25" s="62"/>
      <c r="C25" s="62"/>
      <c r="D25" s="62"/>
      <c r="E25" s="66"/>
      <c r="F25" s="62"/>
      <c r="G25" s="62"/>
      <c r="H25" s="66">
        <v>104.77</v>
      </c>
      <c r="I25" s="62"/>
      <c r="J25" s="62"/>
      <c r="K25" s="66">
        <v>110.75</v>
      </c>
      <c r="L25" s="62"/>
      <c r="M25" s="62"/>
      <c r="N25" s="88">
        <v>149.94999999999999</v>
      </c>
      <c r="O25" s="96"/>
      <c r="P25" s="62"/>
      <c r="Q25" s="66">
        <v>107.94</v>
      </c>
      <c r="R25" s="90"/>
      <c r="S25" s="62"/>
      <c r="T25" s="66">
        <v>110.43</v>
      </c>
      <c r="U25" s="62"/>
      <c r="V25" s="62"/>
      <c r="W25" s="66">
        <v>110.44</v>
      </c>
      <c r="X25" s="62"/>
      <c r="Y25" s="62"/>
      <c r="Z25" s="78">
        <v>109.86</v>
      </c>
    </row>
    <row r="26" spans="1:26">
      <c r="A26" s="69" t="s">
        <v>9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84"/>
      <c r="O26" s="97"/>
      <c r="P26" s="62"/>
      <c r="Q26" s="91">
        <f>((O43-O30)+(P43-P30)+(Q43-Q30))*20/100</f>
        <v>1946.9120200000011</v>
      </c>
      <c r="R26" s="90"/>
      <c r="S26" s="62"/>
      <c r="T26" s="91">
        <f>((R43-R30)+(S43-S30)+(T43-T30))*20/100</f>
        <v>1956.4140200000008</v>
      </c>
      <c r="U26" s="62"/>
      <c r="V26" s="62"/>
      <c r="W26" s="91">
        <f>((U43-U30)+(U43-U30)+(V43-V30))*20/100</f>
        <v>1998.7000200000009</v>
      </c>
      <c r="X26" s="62"/>
      <c r="Y26" s="62"/>
      <c r="Z26" s="103">
        <f>((X43-X30)+(X43-X30)+(Y43-Y30))*20/100</f>
        <v>1998.7000200000009</v>
      </c>
    </row>
    <row r="27" spans="1:26">
      <c r="A27" s="69" t="s">
        <v>55</v>
      </c>
      <c r="B27" s="62"/>
      <c r="C27" s="62"/>
      <c r="D27" s="62"/>
      <c r="E27" s="62"/>
      <c r="F27" s="62"/>
      <c r="G27" s="62"/>
      <c r="H27" s="66">
        <v>1</v>
      </c>
      <c r="I27" s="62"/>
      <c r="J27" s="62"/>
      <c r="K27" s="66">
        <v>1</v>
      </c>
      <c r="L27" s="62"/>
      <c r="M27" s="62"/>
      <c r="N27" s="88">
        <v>1</v>
      </c>
      <c r="O27" s="97"/>
      <c r="P27" s="62"/>
      <c r="Q27" s="92">
        <v>1</v>
      </c>
      <c r="R27" s="90"/>
      <c r="S27" s="62"/>
      <c r="T27" s="93">
        <v>1</v>
      </c>
      <c r="U27" s="62"/>
      <c r="V27" s="62"/>
      <c r="W27" s="93">
        <v>1</v>
      </c>
      <c r="X27" s="62"/>
      <c r="Y27" s="62"/>
      <c r="Z27" s="104">
        <v>1</v>
      </c>
    </row>
    <row r="28" spans="1:26" ht="30">
      <c r="A28" s="69" t="s">
        <v>56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84"/>
      <c r="O28" s="96"/>
      <c r="P28" s="62"/>
      <c r="Q28" s="90"/>
      <c r="R28" s="90"/>
      <c r="S28" s="62"/>
      <c r="T28" s="62"/>
      <c r="U28" s="62"/>
      <c r="V28" s="62"/>
      <c r="W28" s="62"/>
      <c r="X28" s="62"/>
      <c r="Y28" s="62"/>
      <c r="Z28" s="70"/>
    </row>
    <row r="29" spans="1:26" ht="30">
      <c r="A29" s="69" t="s">
        <v>58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84"/>
      <c r="O29" s="96">
        <v>0.83330000000000004</v>
      </c>
      <c r="P29" s="62">
        <v>0.83330000000000004</v>
      </c>
      <c r="Q29" s="62">
        <v>0.83330000000000004</v>
      </c>
      <c r="R29" s="62">
        <v>0.83330000000000004</v>
      </c>
      <c r="S29" s="62">
        <v>0.83330000000000004</v>
      </c>
      <c r="T29" s="62">
        <v>0.83330000000000004</v>
      </c>
      <c r="U29" s="62">
        <v>0.83330000000000004</v>
      </c>
      <c r="V29" s="62">
        <v>0.83330000000000004</v>
      </c>
      <c r="W29" s="62">
        <v>0.83330000000000004</v>
      </c>
      <c r="X29" s="62">
        <v>0.83330000000000004</v>
      </c>
      <c r="Y29" s="62">
        <v>0.83330000000000004</v>
      </c>
      <c r="Z29" s="70">
        <v>0.83330000000000004</v>
      </c>
    </row>
    <row r="30" spans="1:26" ht="36" customHeight="1" thickBot="1">
      <c r="A30" s="79" t="s">
        <v>8</v>
      </c>
      <c r="B30" s="80">
        <f>H30+I30+J30+K30+L30+M30+N30</f>
        <v>381262.57</v>
      </c>
      <c r="C30" s="80"/>
      <c r="D30" s="80"/>
      <c r="E30" s="80"/>
      <c r="F30" s="80"/>
      <c r="G30" s="80"/>
      <c r="H30" s="80">
        <f t="shared" ref="H30:N30" si="13">H5+H20+H21+H25+H26+H27+H28+H29</f>
        <v>40487.769999999997</v>
      </c>
      <c r="I30" s="80">
        <f t="shared" si="13"/>
        <v>25532</v>
      </c>
      <c r="J30" s="80">
        <f t="shared" si="13"/>
        <v>147032</v>
      </c>
      <c r="K30" s="80">
        <f t="shared" si="13"/>
        <v>4813.8500000000004</v>
      </c>
      <c r="L30" s="80">
        <f t="shared" si="13"/>
        <v>119132</v>
      </c>
      <c r="M30" s="80">
        <f t="shared" si="13"/>
        <v>5432</v>
      </c>
      <c r="N30" s="89">
        <f t="shared" si="13"/>
        <v>38832.949999999997</v>
      </c>
      <c r="O30" s="105">
        <f>O14+O15+O18++O20+O21+O22+O24+O25+O26+O27+O28+O29</f>
        <v>24094.833299999998</v>
      </c>
      <c r="P30" s="80">
        <f t="shared" ref="P30" si="14">P14+P15+P18++P20+P21+P22+P24+P25+P26+P27+P28+P29</f>
        <v>24244.833299999998</v>
      </c>
      <c r="Q30" s="80">
        <f>Q14+Q15+Q18++Q20+Q21+Q22+Q24+Q25+Q27+Q28+Q29</f>
        <v>24353.773299999997</v>
      </c>
      <c r="R30" s="80">
        <f t="shared" ref="R30:Z30" si="15">R14+R15+R18++R20+R21+R22+R24+R25+R27+R28+R29</f>
        <v>24244.833299999998</v>
      </c>
      <c r="S30" s="80">
        <f t="shared" si="15"/>
        <v>24144.833299999998</v>
      </c>
      <c r="T30" s="80">
        <f t="shared" si="15"/>
        <v>24256.263299999999</v>
      </c>
      <c r="U30" s="80">
        <f t="shared" si="15"/>
        <v>24144.833299999998</v>
      </c>
      <c r="V30" s="80">
        <f t="shared" si="15"/>
        <v>24144.833299999998</v>
      </c>
      <c r="W30" s="80">
        <f t="shared" si="15"/>
        <v>24256.273299999997</v>
      </c>
      <c r="X30" s="80">
        <f t="shared" si="15"/>
        <v>24144.833299999998</v>
      </c>
      <c r="Y30" s="80">
        <f t="shared" si="15"/>
        <v>24144.833299999998</v>
      </c>
      <c r="Z30" s="81">
        <f t="shared" si="15"/>
        <v>24255.693299999999</v>
      </c>
    </row>
    <row r="31" spans="1:26" ht="15.75" thickBo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>
      <c r="A32" s="135" t="s">
        <v>17</v>
      </c>
      <c r="B32" s="137" t="s">
        <v>5</v>
      </c>
      <c r="C32" s="132" t="s">
        <v>30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3"/>
      <c r="O32" s="134" t="s">
        <v>37</v>
      </c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3"/>
    </row>
    <row r="33" spans="1:26" ht="22.15" customHeight="1">
      <c r="A33" s="136"/>
      <c r="B33" s="138"/>
      <c r="C33" s="106">
        <v>1</v>
      </c>
      <c r="D33" s="106">
        <v>2</v>
      </c>
      <c r="E33" s="106">
        <v>3</v>
      </c>
      <c r="F33" s="106">
        <v>4</v>
      </c>
      <c r="G33" s="106">
        <v>5</v>
      </c>
      <c r="H33" s="106">
        <v>6</v>
      </c>
      <c r="I33" s="106">
        <v>7</v>
      </c>
      <c r="J33" s="106">
        <v>8</v>
      </c>
      <c r="K33" s="106">
        <v>9</v>
      </c>
      <c r="L33" s="106">
        <v>10</v>
      </c>
      <c r="M33" s="106">
        <v>11</v>
      </c>
      <c r="N33" s="108">
        <v>12</v>
      </c>
      <c r="O33" s="112">
        <v>1</v>
      </c>
      <c r="P33" s="106">
        <v>2</v>
      </c>
      <c r="Q33" s="106">
        <v>3</v>
      </c>
      <c r="R33" s="106">
        <v>4</v>
      </c>
      <c r="S33" s="106">
        <v>5</v>
      </c>
      <c r="T33" s="106">
        <v>6</v>
      </c>
      <c r="U33" s="106">
        <v>7</v>
      </c>
      <c r="V33" s="106">
        <v>8</v>
      </c>
      <c r="W33" s="106">
        <v>9</v>
      </c>
      <c r="X33" s="106">
        <v>10</v>
      </c>
      <c r="Y33" s="106">
        <v>11</v>
      </c>
      <c r="Z33" s="108">
        <v>12</v>
      </c>
    </row>
    <row r="34" spans="1:26" s="5" customFormat="1">
      <c r="A34" s="120"/>
      <c r="B34" s="119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9"/>
      <c r="O34" s="113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9"/>
    </row>
    <row r="35" spans="1:26">
      <c r="A35" s="74" t="s">
        <v>36</v>
      </c>
      <c r="B35" s="64">
        <f>SUM(C35:Z35)</f>
        <v>288000</v>
      </c>
      <c r="C35" s="64">
        <f>C36*C37*24*30/1000</f>
        <v>0</v>
      </c>
      <c r="D35" s="64">
        <f t="shared" ref="D35:J35" si="16">D36*D37*24*30/1000</f>
        <v>0</v>
      </c>
      <c r="E35" s="64">
        <f t="shared" si="16"/>
        <v>0</v>
      </c>
      <c r="F35" s="64">
        <v>0</v>
      </c>
      <c r="G35" s="64">
        <v>0</v>
      </c>
      <c r="H35" s="64">
        <f t="shared" si="16"/>
        <v>0</v>
      </c>
      <c r="I35" s="64">
        <f t="shared" si="16"/>
        <v>0</v>
      </c>
      <c r="J35" s="64">
        <f t="shared" si="16"/>
        <v>0</v>
      </c>
      <c r="K35" s="64">
        <v>0</v>
      </c>
      <c r="L35" s="64">
        <v>0</v>
      </c>
      <c r="M35" s="64">
        <v>0</v>
      </c>
      <c r="N35" s="75">
        <v>0</v>
      </c>
      <c r="O35" s="114">
        <v>24000</v>
      </c>
      <c r="P35" s="64">
        <v>24000</v>
      </c>
      <c r="Q35" s="64">
        <v>24000</v>
      </c>
      <c r="R35" s="64">
        <v>24000</v>
      </c>
      <c r="S35" s="64">
        <v>24000</v>
      </c>
      <c r="T35" s="64">
        <v>24000</v>
      </c>
      <c r="U35" s="64">
        <v>24000</v>
      </c>
      <c r="V35" s="64">
        <v>24000</v>
      </c>
      <c r="W35" s="64">
        <v>24000</v>
      </c>
      <c r="X35" s="64">
        <v>24000</v>
      </c>
      <c r="Y35" s="64">
        <v>24000</v>
      </c>
      <c r="Z35" s="75">
        <v>24000</v>
      </c>
    </row>
    <row r="36" spans="1:26">
      <c r="A36" s="69" t="s">
        <v>43</v>
      </c>
      <c r="B36" s="62"/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70">
        <v>0</v>
      </c>
      <c r="O36" s="115">
        <v>3000</v>
      </c>
      <c r="P36" s="62">
        <v>3000</v>
      </c>
      <c r="Q36" s="62">
        <v>3000</v>
      </c>
      <c r="R36" s="62">
        <v>3000</v>
      </c>
      <c r="S36" s="62">
        <v>3000</v>
      </c>
      <c r="T36" s="62">
        <v>3000</v>
      </c>
      <c r="U36" s="62">
        <v>3000</v>
      </c>
      <c r="V36" s="62">
        <v>3000</v>
      </c>
      <c r="W36" s="62">
        <v>3000</v>
      </c>
      <c r="X36" s="62">
        <v>3000</v>
      </c>
      <c r="Y36" s="62">
        <v>3000</v>
      </c>
      <c r="Z36" s="70">
        <v>3000</v>
      </c>
    </row>
    <row r="37" spans="1:26">
      <c r="A37" s="69" t="s">
        <v>35</v>
      </c>
      <c r="B37" s="62"/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78">
        <v>0</v>
      </c>
      <c r="O37" s="116">
        <v>8000</v>
      </c>
      <c r="P37" s="66">
        <v>8000</v>
      </c>
      <c r="Q37" s="66">
        <v>800</v>
      </c>
      <c r="R37" s="66">
        <v>8000</v>
      </c>
      <c r="S37" s="66">
        <v>8000</v>
      </c>
      <c r="T37" s="66">
        <v>8000</v>
      </c>
      <c r="U37" s="66">
        <v>8000</v>
      </c>
      <c r="V37" s="66">
        <v>8000</v>
      </c>
      <c r="W37" s="66">
        <v>8000</v>
      </c>
      <c r="X37" s="66">
        <v>8000</v>
      </c>
      <c r="Y37" s="66">
        <v>8000</v>
      </c>
      <c r="Z37" s="78">
        <v>8000</v>
      </c>
    </row>
    <row r="38" spans="1:26">
      <c r="A38" s="69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70"/>
      <c r="O38" s="115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70"/>
    </row>
    <row r="39" spans="1:26">
      <c r="A39" s="74" t="s">
        <v>61</v>
      </c>
      <c r="B39" s="64">
        <f>SUM(C39:Z39)</f>
        <v>41712</v>
      </c>
      <c r="C39" s="64">
        <f>SUM(C40:C41)</f>
        <v>0</v>
      </c>
      <c r="D39" s="64">
        <f t="shared" ref="D39:E39" si="17">SUM(D40:D41)</f>
        <v>0</v>
      </c>
      <c r="E39" s="64">
        <f t="shared" si="17"/>
        <v>0</v>
      </c>
      <c r="F39" s="64" t="s">
        <v>7</v>
      </c>
      <c r="G39" s="64" t="s">
        <v>7</v>
      </c>
      <c r="H39" s="64" t="s">
        <v>7</v>
      </c>
      <c r="I39" s="64" t="s">
        <v>7</v>
      </c>
      <c r="J39" s="64" t="s">
        <v>7</v>
      </c>
      <c r="K39" s="62"/>
      <c r="L39" s="62">
        <v>0</v>
      </c>
      <c r="M39" s="62">
        <v>0</v>
      </c>
      <c r="N39" s="70">
        <v>0</v>
      </c>
      <c r="O39" s="115">
        <f>O42+O41+O40</f>
        <v>3476</v>
      </c>
      <c r="P39" s="62">
        <f t="shared" ref="P39:Z39" si="18">P42+P41+P40</f>
        <v>3476</v>
      </c>
      <c r="Q39" s="62">
        <f t="shared" si="18"/>
        <v>3476</v>
      </c>
      <c r="R39" s="62">
        <f t="shared" si="18"/>
        <v>3476</v>
      </c>
      <c r="S39" s="62">
        <f t="shared" si="18"/>
        <v>3476</v>
      </c>
      <c r="T39" s="62">
        <f t="shared" si="18"/>
        <v>3476</v>
      </c>
      <c r="U39" s="62">
        <f t="shared" si="18"/>
        <v>3476</v>
      </c>
      <c r="V39" s="62">
        <f t="shared" si="18"/>
        <v>3476</v>
      </c>
      <c r="W39" s="62">
        <f t="shared" si="18"/>
        <v>3476</v>
      </c>
      <c r="X39" s="62">
        <f t="shared" si="18"/>
        <v>3476</v>
      </c>
      <c r="Y39" s="62">
        <f t="shared" si="18"/>
        <v>3476</v>
      </c>
      <c r="Z39" s="70">
        <f t="shared" si="18"/>
        <v>3476</v>
      </c>
    </row>
    <row r="40" spans="1:26" ht="30">
      <c r="A40" s="69" t="s">
        <v>59</v>
      </c>
      <c r="B40" s="90">
        <f t="shared" ref="B40:B41" si="19">SUM(C40:Z40)</f>
        <v>16800</v>
      </c>
      <c r="C40" s="62">
        <v>0</v>
      </c>
      <c r="D40" s="62">
        <v>0</v>
      </c>
      <c r="E40" s="62">
        <v>0</v>
      </c>
      <c r="F40" s="62" t="s">
        <v>7</v>
      </c>
      <c r="G40" s="62" t="s">
        <v>7</v>
      </c>
      <c r="H40" s="62" t="s">
        <v>7</v>
      </c>
      <c r="I40" s="62" t="s">
        <v>7</v>
      </c>
      <c r="J40" s="62" t="s">
        <v>7</v>
      </c>
      <c r="K40" s="62"/>
      <c r="L40" s="62">
        <v>0</v>
      </c>
      <c r="M40" s="62">
        <v>0</v>
      </c>
      <c r="N40" s="70">
        <v>0</v>
      </c>
      <c r="O40" s="115">
        <v>1400</v>
      </c>
      <c r="P40" s="62">
        <v>1400</v>
      </c>
      <c r="Q40" s="62">
        <v>1400</v>
      </c>
      <c r="R40" s="62">
        <v>1400</v>
      </c>
      <c r="S40" s="62">
        <v>1400</v>
      </c>
      <c r="T40" s="62">
        <v>1400</v>
      </c>
      <c r="U40" s="62">
        <v>1400</v>
      </c>
      <c r="V40" s="62">
        <v>1400</v>
      </c>
      <c r="W40" s="62">
        <v>1400</v>
      </c>
      <c r="X40" s="62">
        <v>1400</v>
      </c>
      <c r="Y40" s="62">
        <v>1400</v>
      </c>
      <c r="Z40" s="70">
        <v>1400</v>
      </c>
    </row>
    <row r="41" spans="1:26">
      <c r="A41" s="69" t="s">
        <v>60</v>
      </c>
      <c r="B41" s="90">
        <f t="shared" si="19"/>
        <v>6912</v>
      </c>
      <c r="C41" s="62" t="s">
        <v>7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70">
        <v>0</v>
      </c>
      <c r="O41" s="115">
        <v>576</v>
      </c>
      <c r="P41" s="62">
        <v>576</v>
      </c>
      <c r="Q41" s="62">
        <v>576</v>
      </c>
      <c r="R41" s="62">
        <v>576</v>
      </c>
      <c r="S41" s="62">
        <v>576</v>
      </c>
      <c r="T41" s="62">
        <v>576</v>
      </c>
      <c r="U41" s="62">
        <v>576</v>
      </c>
      <c r="V41" s="62">
        <v>576</v>
      </c>
      <c r="W41" s="62">
        <v>576</v>
      </c>
      <c r="X41" s="62">
        <v>576</v>
      </c>
      <c r="Y41" s="62">
        <v>576</v>
      </c>
      <c r="Z41" s="70">
        <v>576</v>
      </c>
    </row>
    <row r="42" spans="1:26" s="29" customFormat="1" ht="29.25" customHeight="1">
      <c r="A42" s="72" t="s">
        <v>54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73"/>
      <c r="O42" s="117">
        <v>1500</v>
      </c>
      <c r="P42" s="38">
        <v>1500</v>
      </c>
      <c r="Q42" s="38">
        <v>1500</v>
      </c>
      <c r="R42" s="38">
        <v>1500</v>
      </c>
      <c r="S42" s="38">
        <v>1500</v>
      </c>
      <c r="T42" s="38">
        <v>1500</v>
      </c>
      <c r="U42" s="38">
        <v>1500</v>
      </c>
      <c r="V42" s="38">
        <v>1500</v>
      </c>
      <c r="W42" s="38">
        <v>1500</v>
      </c>
      <c r="X42" s="38">
        <v>1500</v>
      </c>
      <c r="Y42" s="38">
        <v>1500</v>
      </c>
      <c r="Z42" s="73">
        <v>1500</v>
      </c>
    </row>
    <row r="43" spans="1:26" s="7" customFormat="1" ht="31.15" customHeight="1" thickBot="1">
      <c r="A43" s="121" t="s">
        <v>18</v>
      </c>
      <c r="B43" s="122">
        <f>SUM(B35,B39,B41)</f>
        <v>336624</v>
      </c>
      <c r="C43" s="122">
        <f>SUM(C35,C39)</f>
        <v>0</v>
      </c>
      <c r="D43" s="122">
        <v>0</v>
      </c>
      <c r="E43" s="122">
        <v>0</v>
      </c>
      <c r="F43" s="122">
        <f>SUM(F35,F39,F41)</f>
        <v>0</v>
      </c>
      <c r="G43" s="122">
        <f>SUM(G35,G39,G41)</f>
        <v>0</v>
      </c>
      <c r="H43" s="122">
        <f>SUM(H35,H39,H41)</f>
        <v>0</v>
      </c>
      <c r="I43" s="122">
        <f>SUM(I35,I39,I41)</f>
        <v>0</v>
      </c>
      <c r="J43" s="122">
        <f>SUM(J35,J39,J41)</f>
        <v>0</v>
      </c>
      <c r="K43" s="122">
        <v>0</v>
      </c>
      <c r="L43" s="122">
        <v>0</v>
      </c>
      <c r="M43" s="122">
        <v>0</v>
      </c>
      <c r="N43" s="123">
        <v>0</v>
      </c>
      <c r="O43" s="118">
        <f>O39+O35</f>
        <v>27476</v>
      </c>
      <c r="P43" s="110">
        <f t="shared" ref="P43:Z43" si="20">P39+P35</f>
        <v>27476</v>
      </c>
      <c r="Q43" s="110">
        <f t="shared" si="20"/>
        <v>27476</v>
      </c>
      <c r="R43" s="110">
        <f t="shared" si="20"/>
        <v>27476</v>
      </c>
      <c r="S43" s="110">
        <f t="shared" si="20"/>
        <v>27476</v>
      </c>
      <c r="T43" s="110">
        <f t="shared" si="20"/>
        <v>27476</v>
      </c>
      <c r="U43" s="110">
        <f t="shared" si="20"/>
        <v>27476</v>
      </c>
      <c r="V43" s="110">
        <f t="shared" si="20"/>
        <v>27476</v>
      </c>
      <c r="W43" s="110">
        <f t="shared" si="20"/>
        <v>27476</v>
      </c>
      <c r="X43" s="110">
        <f t="shared" si="20"/>
        <v>27476</v>
      </c>
      <c r="Y43" s="110">
        <f t="shared" si="20"/>
        <v>27476</v>
      </c>
      <c r="Z43" s="111">
        <f t="shared" si="20"/>
        <v>27476</v>
      </c>
    </row>
    <row r="44" spans="1:26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s="8" customFormat="1" ht="35.25" customHeight="1">
      <c r="A46" s="26" t="s">
        <v>14</v>
      </c>
      <c r="B46" s="30">
        <f>B43-B30</f>
        <v>-44638.570000000007</v>
      </c>
      <c r="C46" s="30">
        <f>C43-C30</f>
        <v>0</v>
      </c>
      <c r="D46" s="30">
        <f t="shared" ref="D46:Z46" si="21">D43-D30</f>
        <v>0</v>
      </c>
      <c r="E46" s="30">
        <f t="shared" si="21"/>
        <v>0</v>
      </c>
      <c r="F46" s="30">
        <f t="shared" si="21"/>
        <v>0</v>
      </c>
      <c r="G46" s="30">
        <f t="shared" si="21"/>
        <v>0</v>
      </c>
      <c r="H46" s="30">
        <f t="shared" si="21"/>
        <v>-40487.769999999997</v>
      </c>
      <c r="I46" s="30">
        <f t="shared" si="21"/>
        <v>-25532</v>
      </c>
      <c r="J46" s="30">
        <f t="shared" si="21"/>
        <v>-147032</v>
      </c>
      <c r="K46" s="30">
        <f t="shared" si="21"/>
        <v>-4813.8500000000004</v>
      </c>
      <c r="L46" s="30">
        <f t="shared" si="21"/>
        <v>-119132</v>
      </c>
      <c r="M46" s="30">
        <f t="shared" si="21"/>
        <v>-5432</v>
      </c>
      <c r="N46" s="30">
        <f t="shared" si="21"/>
        <v>-38832.949999999997</v>
      </c>
      <c r="O46" s="30">
        <f t="shared" si="21"/>
        <v>3381.1667000000016</v>
      </c>
      <c r="P46" s="30">
        <f t="shared" si="21"/>
        <v>3231.1667000000016</v>
      </c>
      <c r="Q46" s="30">
        <f t="shared" si="21"/>
        <v>3122.2267000000029</v>
      </c>
      <c r="R46" s="30">
        <f t="shared" si="21"/>
        <v>3231.1667000000016</v>
      </c>
      <c r="S46" s="30">
        <f t="shared" si="21"/>
        <v>3331.1667000000016</v>
      </c>
      <c r="T46" s="30">
        <f t="shared" si="21"/>
        <v>3219.7367000000013</v>
      </c>
      <c r="U46" s="30">
        <f t="shared" si="21"/>
        <v>3331.1667000000016</v>
      </c>
      <c r="V46" s="30">
        <f t="shared" si="21"/>
        <v>3331.1667000000016</v>
      </c>
      <c r="W46" s="30">
        <f t="shared" si="21"/>
        <v>3219.7267000000029</v>
      </c>
      <c r="X46" s="30">
        <f t="shared" si="21"/>
        <v>3331.1667000000016</v>
      </c>
      <c r="Y46" s="30">
        <f t="shared" si="21"/>
        <v>3331.1667000000016</v>
      </c>
      <c r="Z46" s="30">
        <f t="shared" si="21"/>
        <v>3220.306700000001</v>
      </c>
    </row>
    <row r="47" spans="1:26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s="7" customFormat="1" ht="35.25" customHeight="1">
      <c r="A48" s="27" t="s">
        <v>15</v>
      </c>
      <c r="B48" s="31"/>
      <c r="C48" s="31">
        <f>C46+B48</f>
        <v>0</v>
      </c>
      <c r="D48" s="31">
        <f t="shared" ref="D48:Z48" si="22">D46+C48</f>
        <v>0</v>
      </c>
      <c r="E48" s="31">
        <f t="shared" si="22"/>
        <v>0</v>
      </c>
      <c r="F48" s="31">
        <f t="shared" si="22"/>
        <v>0</v>
      </c>
      <c r="G48" s="31">
        <f t="shared" si="22"/>
        <v>0</v>
      </c>
      <c r="H48" s="31">
        <f t="shared" si="22"/>
        <v>-40487.769999999997</v>
      </c>
      <c r="I48" s="31">
        <f t="shared" si="22"/>
        <v>-66019.76999999999</v>
      </c>
      <c r="J48" s="31">
        <f t="shared" si="22"/>
        <v>-213051.77</v>
      </c>
      <c r="K48" s="31">
        <f t="shared" si="22"/>
        <v>-217865.62</v>
      </c>
      <c r="L48" s="31">
        <f t="shared" si="22"/>
        <v>-336997.62</v>
      </c>
      <c r="M48" s="31">
        <f t="shared" si="22"/>
        <v>-342429.62</v>
      </c>
      <c r="N48" s="31">
        <f t="shared" si="22"/>
        <v>-381262.57</v>
      </c>
      <c r="O48" s="31">
        <f t="shared" si="22"/>
        <v>-377881.40330000001</v>
      </c>
      <c r="P48" s="31">
        <f t="shared" si="22"/>
        <v>-374650.2366</v>
      </c>
      <c r="Q48" s="31">
        <f t="shared" si="22"/>
        <v>-371528.0099</v>
      </c>
      <c r="R48" s="31">
        <f t="shared" si="22"/>
        <v>-368296.8432</v>
      </c>
      <c r="S48" s="31">
        <f t="shared" si="22"/>
        <v>-364965.6765</v>
      </c>
      <c r="T48" s="31">
        <f t="shared" si="22"/>
        <v>-361745.93979999999</v>
      </c>
      <c r="U48" s="31">
        <f t="shared" si="22"/>
        <v>-358414.77309999999</v>
      </c>
      <c r="V48" s="31">
        <f t="shared" si="22"/>
        <v>-355083.60639999999</v>
      </c>
      <c r="W48" s="31">
        <f t="shared" si="22"/>
        <v>-351863.87969999999</v>
      </c>
      <c r="X48" s="31">
        <f t="shared" si="22"/>
        <v>-348532.71299999999</v>
      </c>
      <c r="Y48" s="31">
        <f t="shared" si="22"/>
        <v>-345201.54629999999</v>
      </c>
      <c r="Z48" s="31">
        <f t="shared" si="22"/>
        <v>-341981.23959999997</v>
      </c>
    </row>
    <row r="51" spans="2:2">
      <c r="B51" s="1"/>
    </row>
  </sheetData>
  <mergeCells count="8">
    <mergeCell ref="C3:N3"/>
    <mergeCell ref="O3:Z3"/>
    <mergeCell ref="B3:B4"/>
    <mergeCell ref="A3:A4"/>
    <mergeCell ref="C32:N32"/>
    <mergeCell ref="O32:Z32"/>
    <mergeCell ref="A32:A33"/>
    <mergeCell ref="B32:B33"/>
  </mergeCell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workbookViewId="0">
      <selection activeCell="Q18" sqref="Q18"/>
    </sheetView>
  </sheetViews>
  <sheetFormatPr defaultRowHeight="15"/>
  <cols>
    <col min="1" max="1" width="9.140625" customWidth="1"/>
    <col min="2" max="2" width="16.28515625" customWidth="1"/>
    <col min="3" max="3" width="14.28515625" customWidth="1"/>
    <col min="5" max="5" width="7.42578125" customWidth="1"/>
    <col min="13" max="13" width="22.42578125" customWidth="1"/>
    <col min="14" max="14" width="11" customWidth="1"/>
  </cols>
  <sheetData>
    <row r="1" spans="1:19" ht="19.5" thickBot="1">
      <c r="A1" s="155" t="s">
        <v>9</v>
      </c>
      <c r="B1" s="155"/>
      <c r="C1" s="9">
        <v>0.2</v>
      </c>
    </row>
    <row r="2" spans="1:19" ht="12.75" customHeight="1">
      <c r="A2" s="11"/>
      <c r="B2" s="12"/>
      <c r="C2" s="13"/>
      <c r="D2" s="14"/>
      <c r="E2" s="14"/>
      <c r="F2" s="14"/>
      <c r="G2" s="14"/>
      <c r="H2" s="14"/>
      <c r="I2" s="15"/>
      <c r="K2" s="23"/>
      <c r="L2" s="14"/>
      <c r="M2" s="14"/>
      <c r="N2" s="14"/>
      <c r="O2" s="14"/>
      <c r="P2" s="14"/>
      <c r="Q2" s="14"/>
      <c r="R2" s="14"/>
      <c r="S2" s="15"/>
    </row>
    <row r="3" spans="1:19" ht="16.5" customHeight="1">
      <c r="A3" s="16" t="s">
        <v>30</v>
      </c>
      <c r="B3" s="17"/>
      <c r="C3" s="18"/>
      <c r="D3" s="10"/>
      <c r="E3" s="10"/>
      <c r="F3" s="10"/>
      <c r="G3" s="10"/>
      <c r="H3" s="10"/>
      <c r="I3" s="19"/>
      <c r="K3" s="16" t="s">
        <v>37</v>
      </c>
      <c r="L3" s="17"/>
      <c r="M3" s="18"/>
      <c r="N3" s="10"/>
      <c r="O3" s="10"/>
      <c r="P3" s="10"/>
      <c r="Q3" s="10"/>
      <c r="R3" s="10"/>
      <c r="S3" s="19"/>
    </row>
    <row r="4" spans="1:19" ht="19.5" thickBot="1">
      <c r="A4" s="152" t="s">
        <v>24</v>
      </c>
      <c r="B4" s="151"/>
      <c r="C4" s="151"/>
      <c r="D4" s="10"/>
      <c r="E4" s="10"/>
      <c r="F4" s="151" t="s">
        <v>21</v>
      </c>
      <c r="G4" s="151"/>
      <c r="H4" s="151"/>
      <c r="I4" s="19"/>
      <c r="K4" s="152" t="s">
        <v>24</v>
      </c>
      <c r="L4" s="151"/>
      <c r="M4" s="151"/>
      <c r="N4" s="10"/>
      <c r="O4" s="10"/>
      <c r="P4" s="151" t="s">
        <v>21</v>
      </c>
      <c r="Q4" s="151"/>
      <c r="R4" s="151"/>
      <c r="S4" s="19"/>
    </row>
    <row r="5" spans="1:19" ht="60" customHeight="1">
      <c r="A5" s="145" t="str">
        <f>'Денежный поток'!A5</f>
        <v>КАПИТАЛЬНЫЕ ЗАТРАТЫ:</v>
      </c>
      <c r="B5" s="146"/>
      <c r="C5" s="147"/>
      <c r="D5" s="42">
        <f>'Денежный поток'!H5+'Денежный поток'!I5+'Денежный поток'!J5+'Денежный поток'!K5+'Денежный поток'!L5+'Денежный поток'!M5+'Денежный поток'!N5</f>
        <v>380294.1</v>
      </c>
      <c r="E5" s="45"/>
      <c r="F5" s="46" t="s">
        <v>42</v>
      </c>
      <c r="G5" s="46"/>
      <c r="H5" s="47">
        <v>0</v>
      </c>
      <c r="I5" s="48"/>
      <c r="J5" s="33"/>
      <c r="K5" s="156" t="s">
        <v>6</v>
      </c>
      <c r="L5" s="157"/>
      <c r="M5" s="158"/>
      <c r="N5" s="49">
        <f>'Денежный поток'!O5+'Денежный поток'!U5</f>
        <v>0</v>
      </c>
      <c r="O5" s="45"/>
      <c r="P5" s="46" t="s">
        <v>42</v>
      </c>
      <c r="Q5" s="46"/>
      <c r="R5" s="47">
        <v>288000</v>
      </c>
      <c r="S5" s="19"/>
    </row>
    <row r="6" spans="1:19" ht="15" customHeight="1">
      <c r="A6" s="142" t="str">
        <f>'Денежный поток'!A6</f>
        <v>Проект</v>
      </c>
      <c r="B6" s="143"/>
      <c r="C6" s="144"/>
      <c r="D6" s="43">
        <f>'Денежный поток'!H6+'Денежный поток'!I6</f>
        <v>25300</v>
      </c>
      <c r="E6" s="45"/>
      <c r="F6" s="153" t="s">
        <v>25</v>
      </c>
      <c r="G6" s="154"/>
      <c r="H6" s="50">
        <v>0</v>
      </c>
      <c r="I6" s="48"/>
      <c r="J6" s="33"/>
      <c r="K6" s="159" t="s">
        <v>1</v>
      </c>
      <c r="L6" s="160"/>
      <c r="M6" s="161"/>
      <c r="N6" s="51">
        <v>0</v>
      </c>
      <c r="O6" s="45"/>
      <c r="P6" s="153" t="s">
        <v>25</v>
      </c>
      <c r="Q6" s="154"/>
      <c r="R6" s="50">
        <v>23712</v>
      </c>
      <c r="S6" s="19"/>
    </row>
    <row r="7" spans="1:19" ht="15" customHeight="1">
      <c r="A7" s="142" t="str">
        <f>'Денежный поток'!A7</f>
        <v>Производственное оборудование</v>
      </c>
      <c r="B7" s="143"/>
      <c r="C7" s="144"/>
      <c r="D7" s="43">
        <f>'Денежный поток'!B7</f>
        <v>230000</v>
      </c>
      <c r="E7" s="45"/>
      <c r="F7" s="45" t="s">
        <v>22</v>
      </c>
      <c r="G7" s="45"/>
      <c r="H7" s="52">
        <f>H5+H6</f>
        <v>0</v>
      </c>
      <c r="I7" s="48"/>
      <c r="J7" s="33"/>
      <c r="K7" s="159" t="s">
        <v>0</v>
      </c>
      <c r="L7" s="160"/>
      <c r="M7" s="161"/>
      <c r="N7" s="51">
        <v>0</v>
      </c>
      <c r="O7" s="45"/>
      <c r="P7" s="45" t="s">
        <v>22</v>
      </c>
      <c r="Q7" s="45"/>
      <c r="R7" s="52">
        <f>R5+R6</f>
        <v>311712</v>
      </c>
      <c r="S7" s="19"/>
    </row>
    <row r="8" spans="1:19" ht="15" customHeight="1">
      <c r="A8" s="142" t="str">
        <f>'Денежный поток'!A8</f>
        <v>Строительство  (монтаж)</v>
      </c>
      <c r="B8" s="143"/>
      <c r="C8" s="144"/>
      <c r="D8" s="43">
        <f>'Денежный поток'!J7+'Денежный поток'!K7+'Денежный поток'!L7</f>
        <v>230000</v>
      </c>
      <c r="E8" s="45"/>
      <c r="F8" s="45"/>
      <c r="G8" s="45"/>
      <c r="H8" s="45"/>
      <c r="I8" s="48"/>
      <c r="J8" s="33"/>
      <c r="K8" s="159" t="s">
        <v>48</v>
      </c>
      <c r="L8" s="160"/>
      <c r="M8" s="161"/>
      <c r="N8" s="51">
        <v>0</v>
      </c>
      <c r="O8" s="45"/>
      <c r="P8" s="45"/>
      <c r="Q8" s="45"/>
      <c r="R8" s="45"/>
      <c r="S8" s="19"/>
    </row>
    <row r="9" spans="1:19" ht="15" customHeight="1">
      <c r="A9" s="142" t="str">
        <f>'Денежный поток'!A9</f>
        <v>Доставка оборудования (логистика)</v>
      </c>
      <c r="B9" s="143"/>
      <c r="C9" s="144"/>
      <c r="D9" s="43">
        <f>'Денежный поток'!B9</f>
        <v>1200</v>
      </c>
      <c r="E9" s="45"/>
      <c r="F9" s="45"/>
      <c r="G9" s="45"/>
      <c r="H9" s="45"/>
      <c r="I9" s="48"/>
      <c r="J9" s="33"/>
      <c r="K9" s="159" t="s">
        <v>44</v>
      </c>
      <c r="L9" s="160"/>
      <c r="M9" s="161"/>
      <c r="N9" s="51">
        <v>0</v>
      </c>
      <c r="O9" s="45"/>
      <c r="P9" s="45"/>
      <c r="Q9" s="45"/>
      <c r="R9" s="45"/>
      <c r="S9" s="19"/>
    </row>
    <row r="10" spans="1:19" ht="15" customHeight="1">
      <c r="A10" s="142" t="str">
        <f>'Денежный поток'!A10</f>
        <v>Оснащение производства (ПНР)</v>
      </c>
      <c r="B10" s="143"/>
      <c r="C10" s="144"/>
      <c r="D10" s="43">
        <f>'Денежный поток'!L10+'Денежный поток'!N10</f>
        <v>13800</v>
      </c>
      <c r="E10" s="45"/>
      <c r="F10" s="45"/>
      <c r="G10" s="45"/>
      <c r="H10" s="45"/>
      <c r="I10" s="48"/>
      <c r="J10" s="33"/>
      <c r="K10" s="159" t="s">
        <v>47</v>
      </c>
      <c r="L10" s="160"/>
      <c r="M10" s="161"/>
      <c r="N10" s="51">
        <v>0</v>
      </c>
      <c r="O10" s="45"/>
      <c r="P10" s="45"/>
      <c r="Q10" s="45"/>
      <c r="R10" s="45"/>
      <c r="S10" s="19"/>
    </row>
    <row r="11" spans="1:19" ht="47.25" customHeight="1">
      <c r="A11" s="142" t="str">
        <f>'Денежный поток'!A11</f>
        <v>Прочие затраты (доп. работы, представительские расходы, незапланированные траты)</v>
      </c>
      <c r="B11" s="143"/>
      <c r="C11" s="144"/>
      <c r="D11" s="43">
        <f>'Денежный поток'!B11</f>
        <v>12050</v>
      </c>
      <c r="E11" s="45"/>
      <c r="F11" s="45"/>
      <c r="G11" s="45"/>
      <c r="H11" s="45"/>
      <c r="I11" s="48"/>
      <c r="J11" s="33"/>
      <c r="K11" s="159" t="s">
        <v>53</v>
      </c>
      <c r="L11" s="160"/>
      <c r="M11" s="161"/>
      <c r="N11" s="51">
        <v>0</v>
      </c>
      <c r="O11" s="45"/>
      <c r="P11" s="45"/>
      <c r="Q11" s="45"/>
      <c r="R11" s="45"/>
      <c r="S11" s="19"/>
    </row>
    <row r="12" spans="1:19" ht="15" customHeight="1">
      <c r="A12" s="142" t="str">
        <f>'Денежный поток'!A12</f>
        <v>СЕРТИФИКАЦИЯ ПРОИЗВОДСТВА</v>
      </c>
      <c r="B12" s="143"/>
      <c r="C12" s="144"/>
      <c r="D12" s="43">
        <f>'Денежный поток'!K12+'Денежный поток'!L12+'Денежный поток'!M12+'Денежный поток'!N12</f>
        <v>2570.1</v>
      </c>
      <c r="E12" s="45"/>
      <c r="F12" s="45"/>
      <c r="G12" s="45"/>
      <c r="H12" s="45"/>
      <c r="I12" s="48"/>
      <c r="J12" s="33"/>
      <c r="K12" s="159" t="s">
        <v>3</v>
      </c>
      <c r="L12" s="160"/>
      <c r="M12" s="161"/>
      <c r="N12" s="51">
        <v>0</v>
      </c>
      <c r="O12" s="45"/>
      <c r="P12" s="45"/>
      <c r="Q12" s="45"/>
      <c r="R12" s="45"/>
      <c r="S12" s="19"/>
    </row>
    <row r="13" spans="1:19" ht="15" customHeight="1">
      <c r="A13" s="142" t="str">
        <f>'Денежный поток'!A13</f>
        <v>ЭКОЛОГИЧЕСКИЙ АУДИТ</v>
      </c>
      <c r="B13" s="143"/>
      <c r="C13" s="144"/>
      <c r="D13" s="43">
        <f>'Денежный поток'!N13</f>
        <v>150</v>
      </c>
      <c r="E13" s="45"/>
      <c r="F13" s="45"/>
      <c r="G13" s="45"/>
      <c r="H13" s="45"/>
      <c r="I13" s="48"/>
      <c r="J13" s="33"/>
      <c r="K13" s="159" t="s">
        <v>4</v>
      </c>
      <c r="L13" s="160"/>
      <c r="M13" s="161"/>
      <c r="N13" s="51">
        <f>'Денежный поток'!U13</f>
        <v>150</v>
      </c>
      <c r="O13" s="45"/>
      <c r="P13" s="45"/>
      <c r="Q13" s="45"/>
      <c r="R13" s="45"/>
      <c r="S13" s="19"/>
    </row>
    <row r="14" spans="1:19" ht="15" customHeight="1">
      <c r="A14" s="142" t="str">
        <f>'Денежный поток'!A14</f>
        <v>СЫРЬЕ (доставка)</v>
      </c>
      <c r="B14" s="143"/>
      <c r="C14" s="144"/>
      <c r="D14" s="43">
        <v>0</v>
      </c>
      <c r="E14" s="45"/>
      <c r="F14" s="45"/>
      <c r="G14" s="45"/>
      <c r="H14" s="45"/>
      <c r="I14" s="48"/>
      <c r="J14" s="33"/>
      <c r="K14" s="159" t="s">
        <v>31</v>
      </c>
      <c r="L14" s="160"/>
      <c r="M14" s="161"/>
      <c r="N14" s="51">
        <f>'Денежный поток'!O14+'Денежный поток'!P14+'Денежный поток'!Q14+'Денежный поток'!R14+'Денежный поток'!S14+'Денежный поток'!T14+'Денежный поток'!U14+'Денежный поток'!V14+'Денежный поток'!W14+'Денежный поток'!X14+'Денежный поток'!Y14+'Денежный поток'!Z14</f>
        <v>2160</v>
      </c>
      <c r="O14" s="45"/>
      <c r="P14" s="45"/>
      <c r="Q14" s="45"/>
      <c r="R14" s="45"/>
      <c r="S14" s="19"/>
    </row>
    <row r="15" spans="1:19" ht="15" customHeight="1">
      <c r="A15" s="142" t="str">
        <f>'Денежный поток'!A15</f>
        <v>ЗАРАБОТНАЯ ПЛАТА (вкл. налоги):</v>
      </c>
      <c r="B15" s="143"/>
      <c r="C15" s="144"/>
      <c r="D15" s="43">
        <f>'Денежный поток'!H15+'Денежный поток'!I15+'Денежный поток'!J15+'Денежный поток'!K15+'Денежный поток'!L15+'Денежный поток'!M15+'Денежный поток'!N15</f>
        <v>6524</v>
      </c>
      <c r="E15" s="45"/>
      <c r="F15" s="45"/>
      <c r="G15" s="45"/>
      <c r="H15" s="45"/>
      <c r="I15" s="48"/>
      <c r="J15" s="33"/>
      <c r="K15" s="159" t="s">
        <v>20</v>
      </c>
      <c r="L15" s="160"/>
      <c r="M15" s="161"/>
      <c r="N15" s="51">
        <f>'Денежный поток'!O15+'Денежный поток'!P15+'Денежный поток'!Q15+'Денежный поток'!R15+'Денежный поток'!S15+'Денежный поток'!T15+'Денежный поток'!U15+'Денежный поток'!V15+'Денежный поток'!W15+'Денежный поток'!X15+'Денежный поток'!Y15+'Денежный поток'!Z15</f>
        <v>33360</v>
      </c>
      <c r="O15" s="45"/>
      <c r="P15" s="45"/>
      <c r="Q15" s="45"/>
      <c r="R15" s="45"/>
      <c r="S15" s="19"/>
    </row>
    <row r="16" spans="1:19" ht="15" customHeight="1">
      <c r="A16" s="142" t="str">
        <f>'Денежный поток'!A18</f>
        <v>АРЕНДА офиса на период строительства</v>
      </c>
      <c r="B16" s="143"/>
      <c r="C16" s="144"/>
      <c r="D16" s="43">
        <f>'Денежный поток'!H18+'Денежный поток'!I18+'Денежный поток'!J18+'Денежный поток'!K18+'Денежный поток'!L18+'Денежный поток'!M18+'Денежный поток'!N18</f>
        <v>700</v>
      </c>
      <c r="E16" s="45"/>
      <c r="F16" s="45"/>
      <c r="G16" s="45"/>
      <c r="H16" s="45"/>
      <c r="I16" s="48"/>
      <c r="J16" s="33"/>
      <c r="K16" s="159" t="s">
        <v>49</v>
      </c>
      <c r="L16" s="160"/>
      <c r="M16" s="161"/>
      <c r="N16" s="51">
        <f>'Денежный поток'!O18+'Денежный поток'!P18+'Денежный поток'!Q18+'Денежный поток'!R18</f>
        <v>400</v>
      </c>
      <c r="O16" s="45"/>
      <c r="P16" s="45"/>
      <c r="Q16" s="45"/>
      <c r="R16" s="45"/>
      <c r="S16" s="19"/>
    </row>
    <row r="17" spans="1:19" ht="15" customHeight="1">
      <c r="A17" s="142" t="str">
        <f>'Денежный поток'!A19</f>
        <v>Приобретение автотехники (самосвальная, фр.погрузочная, легковая)</v>
      </c>
      <c r="B17" s="143"/>
      <c r="C17" s="144"/>
      <c r="D17" s="43">
        <f>'Денежный поток'!H19+'Денежный поток'!M19</f>
        <v>4500</v>
      </c>
      <c r="E17" s="45"/>
      <c r="F17" s="45"/>
      <c r="G17" s="45"/>
      <c r="H17" s="45"/>
      <c r="I17" s="48"/>
      <c r="J17" s="33"/>
      <c r="K17" s="159" t="s">
        <v>50</v>
      </c>
      <c r="L17" s="160"/>
      <c r="M17" s="161"/>
      <c r="N17" s="53">
        <v>0</v>
      </c>
      <c r="O17" s="45"/>
      <c r="P17" s="45"/>
      <c r="Q17" s="45"/>
      <c r="R17" s="45"/>
      <c r="S17" s="19"/>
    </row>
    <row r="18" spans="1:19" ht="15" customHeight="1">
      <c r="A18" s="142" t="str">
        <f>'Денежный поток'!A20</f>
        <v>Охрана объекта</v>
      </c>
      <c r="B18" s="143"/>
      <c r="C18" s="144"/>
      <c r="D18" s="43">
        <f>'Денежный поток'!L20+'Денежный поток'!M20+'Денежный поток'!N20</f>
        <v>600</v>
      </c>
      <c r="E18" s="45"/>
      <c r="F18" s="45"/>
      <c r="G18" s="45"/>
      <c r="H18" s="45"/>
      <c r="I18" s="48"/>
      <c r="J18" s="33"/>
      <c r="K18" s="159" t="s">
        <v>51</v>
      </c>
      <c r="L18" s="160"/>
      <c r="M18" s="161"/>
      <c r="N18" s="51">
        <f>'Денежный поток'!O20+'Денежный поток'!P20+'Денежный поток'!Q20+'Денежный поток'!R20+'Денежный поток'!S20+'Денежный поток'!T20+'Денежный поток'!U20+'Денежный поток'!V20+'Денежный поток'!W20+'Денежный поток'!X20+'Денежный поток'!Y20+'Денежный поток'!Z20</f>
        <v>2400</v>
      </c>
      <c r="O18" s="45"/>
      <c r="P18" s="45"/>
      <c r="Q18" s="45"/>
      <c r="R18" s="45"/>
      <c r="S18" s="19"/>
    </row>
    <row r="19" spans="1:19" ht="15" customHeight="1">
      <c r="A19" s="142" t="str">
        <f>'Денежный поток'!A21</f>
        <v>Клининговые услуги</v>
      </c>
      <c r="B19" s="143"/>
      <c r="C19" s="144"/>
      <c r="D19" s="43">
        <v>0</v>
      </c>
      <c r="E19" s="45"/>
      <c r="F19" s="45"/>
      <c r="G19" s="45"/>
      <c r="H19" s="45"/>
      <c r="I19" s="48"/>
      <c r="J19" s="33"/>
      <c r="K19" s="159" t="s">
        <v>52</v>
      </c>
      <c r="L19" s="160"/>
      <c r="M19" s="161"/>
      <c r="N19" s="51">
        <f>'Денежный поток'!P21+'Денежный поток'!Q21+'Денежный поток'!R21+'Денежный поток'!S21+'Денежный поток'!T21+'Денежный поток'!U21+'Денежный поток'!V21+'Денежный поток'!W21+'Денежный поток'!X21+'Денежный поток'!Y21+'Денежный поток'!Z21</f>
        <v>1650</v>
      </c>
      <c r="O19" s="45"/>
      <c r="P19" s="45"/>
      <c r="Q19" s="45"/>
      <c r="R19" s="45"/>
      <c r="S19" s="19"/>
    </row>
    <row r="20" spans="1:19" ht="15" customHeight="1" thickBot="1">
      <c r="A20" s="148" t="str">
        <f>'Денежный поток'!A22</f>
        <v>ПЛАТЕЖИ ПО КРЕДИТУ (АННУИТЕТ)</v>
      </c>
      <c r="B20" s="149"/>
      <c r="C20" s="150"/>
      <c r="D20" s="44">
        <v>0</v>
      </c>
      <c r="E20" s="45"/>
      <c r="F20" s="45"/>
      <c r="G20" s="45"/>
      <c r="H20" s="45"/>
      <c r="I20" s="48"/>
      <c r="J20" s="33"/>
      <c r="K20" s="159" t="s">
        <v>13</v>
      </c>
      <c r="L20" s="160"/>
      <c r="M20" s="161"/>
      <c r="N20" s="51">
        <f>'Денежный поток'!O22+'Денежный поток'!P22+'Денежный поток'!Q22+'Денежный поток'!R22+'Денежный поток'!S22+'Денежный поток'!T22+'Денежный поток'!U22+'Денежный поток'!V22+'Денежный поток'!W22+'Денежный поток'!X22+'Денежный поток'!Y22+'Денежный поток'!Z22</f>
        <v>240000</v>
      </c>
      <c r="O20" s="45"/>
      <c r="P20" s="45"/>
      <c r="Q20" s="45"/>
      <c r="R20" s="45"/>
      <c r="S20" s="19"/>
    </row>
    <row r="21" spans="1:19" ht="17.25" customHeight="1" thickBot="1">
      <c r="A21" s="54"/>
      <c r="B21" s="45"/>
      <c r="C21" s="45"/>
      <c r="D21" s="45"/>
      <c r="E21" s="45"/>
      <c r="F21" s="45"/>
      <c r="G21" s="45"/>
      <c r="H21" s="45"/>
      <c r="I21" s="48"/>
      <c r="J21" s="33"/>
      <c r="K21" s="168" t="s">
        <v>23</v>
      </c>
      <c r="L21" s="169"/>
      <c r="M21" s="170"/>
      <c r="N21" s="55">
        <f>'Денежный поток'!O29+'Денежный поток'!P29+'Денежный поток'!Q29+'Денежный поток'!R29+'Денежный поток'!S29+'Денежный поток'!T29+'Денежный поток'!U29+'Денежный поток'!V29+'Денежный поток'!W29+'Денежный поток'!X29+'Денежный поток'!Y29+'Денежный поток'!Z29</f>
        <v>9.9996000000000009</v>
      </c>
      <c r="O21" s="45"/>
      <c r="P21" s="45"/>
      <c r="Q21" s="45"/>
      <c r="R21" s="45"/>
      <c r="S21" s="19"/>
    </row>
    <row r="22" spans="1:19" ht="90.75" customHeight="1">
      <c r="A22" s="54"/>
      <c r="B22" s="45"/>
      <c r="C22" s="45"/>
      <c r="D22" s="45"/>
      <c r="E22" s="45"/>
      <c r="F22" s="45"/>
      <c r="G22" s="45"/>
      <c r="H22" s="45"/>
      <c r="I22" s="48"/>
      <c r="J22" s="33"/>
      <c r="K22" s="34"/>
      <c r="L22" s="34"/>
      <c r="M22" s="34"/>
      <c r="N22" s="45"/>
      <c r="O22" s="45"/>
      <c r="P22" s="45"/>
      <c r="Q22" s="45"/>
      <c r="R22" s="45"/>
      <c r="S22" s="19"/>
    </row>
    <row r="23" spans="1:19" ht="15.75" thickBot="1">
      <c r="A23" s="54"/>
      <c r="B23" s="45"/>
      <c r="C23" s="45"/>
      <c r="D23" s="45"/>
      <c r="E23" s="45"/>
      <c r="F23" s="45"/>
      <c r="G23" s="45"/>
      <c r="H23" s="45"/>
      <c r="I23" s="48"/>
      <c r="J23" s="33"/>
      <c r="K23" s="34"/>
      <c r="L23" s="34"/>
      <c r="M23" s="34"/>
      <c r="N23" s="45"/>
      <c r="O23" s="45"/>
      <c r="P23" s="45"/>
      <c r="Q23" s="45"/>
      <c r="R23" s="45"/>
      <c r="S23" s="19"/>
    </row>
    <row r="24" spans="1:19">
      <c r="A24" s="139" t="s">
        <v>33</v>
      </c>
      <c r="B24" s="140"/>
      <c r="C24" s="141"/>
      <c r="D24" s="56">
        <v>0</v>
      </c>
      <c r="E24" s="45"/>
      <c r="F24" s="45"/>
      <c r="G24" s="45"/>
      <c r="H24" s="45"/>
      <c r="I24" s="48"/>
      <c r="J24" s="162" t="s">
        <v>38</v>
      </c>
      <c r="K24" s="163"/>
      <c r="L24" s="163"/>
      <c r="M24" s="164"/>
      <c r="N24" s="57">
        <f>'Денежный поток'!Q26+'Денежный поток'!T26+'Денежный поток'!W26+'Денежный поток'!Z26</f>
        <v>7900.726080000004</v>
      </c>
      <c r="O24" s="45"/>
      <c r="P24" s="45"/>
      <c r="Q24" s="45"/>
      <c r="R24" s="45"/>
      <c r="S24" s="19"/>
    </row>
    <row r="25" spans="1:19" ht="15.75" thickBot="1">
      <c r="A25" s="139" t="s">
        <v>26</v>
      </c>
      <c r="B25" s="140"/>
      <c r="C25" s="141"/>
      <c r="D25" s="56">
        <v>0</v>
      </c>
      <c r="E25" s="45"/>
      <c r="F25" s="45"/>
      <c r="G25" s="45"/>
      <c r="H25" s="45"/>
      <c r="I25" s="48"/>
      <c r="J25" s="165" t="s">
        <v>26</v>
      </c>
      <c r="K25" s="166"/>
      <c r="L25" s="166"/>
      <c r="M25" s="167"/>
      <c r="N25" s="58">
        <f>'Денежный поток'!O46+'Денежный поток'!P46+'Денежный поток'!Q46+'Денежный поток'!R46+'Денежный поток'!S46+'Денежный поток'!T46+'Денежный поток'!U46+'Денежный поток'!V46+'Денежный поток'!W46+'Денежный поток'!X46+'Денежный поток'!Y46+'Денежный поток'!Z46</f>
        <v>39281.330400000021</v>
      </c>
      <c r="O25" s="45"/>
      <c r="P25" s="45"/>
      <c r="Q25" s="45"/>
      <c r="R25" s="45"/>
      <c r="S25" s="19"/>
    </row>
    <row r="26" spans="1:19" ht="15.75" thickBot="1">
      <c r="A26" s="20"/>
      <c r="B26" s="21"/>
      <c r="C26" s="21"/>
      <c r="D26" s="21"/>
      <c r="E26" s="21"/>
      <c r="F26" s="21"/>
      <c r="G26" s="21"/>
      <c r="H26" s="21"/>
      <c r="I26" s="22"/>
      <c r="K26" s="36"/>
      <c r="L26" s="36"/>
      <c r="M26" s="36"/>
      <c r="N26" s="21"/>
      <c r="O26" s="21"/>
      <c r="P26" s="21"/>
      <c r="Q26" s="21"/>
      <c r="R26" s="21"/>
      <c r="S26" s="22"/>
    </row>
    <row r="27" spans="1:19">
      <c r="K27" s="32"/>
      <c r="L27" s="32"/>
      <c r="M27" s="32"/>
    </row>
    <row r="28" spans="1:19">
      <c r="K28" s="32"/>
      <c r="L28" s="32"/>
      <c r="M28" s="32"/>
    </row>
    <row r="29" spans="1:19">
      <c r="K29" s="32"/>
      <c r="L29" s="32"/>
      <c r="M29" s="32"/>
    </row>
    <row r="30" spans="1:19">
      <c r="K30" s="32"/>
      <c r="L30" s="32"/>
      <c r="M30" s="32"/>
    </row>
    <row r="31" spans="1:19">
      <c r="K31" s="34"/>
      <c r="L31" s="34"/>
      <c r="M31" s="34"/>
    </row>
    <row r="32" spans="1:19">
      <c r="K32" s="34"/>
      <c r="L32" s="34"/>
      <c r="M32" s="34"/>
    </row>
    <row r="33" spans="11:13">
      <c r="K33" s="32"/>
      <c r="L33" s="32"/>
      <c r="M33" s="32"/>
    </row>
    <row r="34" spans="11:13">
      <c r="K34" s="34"/>
      <c r="L34" s="34"/>
      <c r="M34" s="34"/>
    </row>
    <row r="35" spans="11:13">
      <c r="K35" s="34"/>
      <c r="L35" s="34"/>
      <c r="M35" s="34"/>
    </row>
    <row r="36" spans="11:13" ht="15.75" thickBot="1">
      <c r="K36" s="34"/>
      <c r="L36" s="34"/>
      <c r="M36" s="34"/>
    </row>
    <row r="37" spans="11:13" ht="15.75" thickBot="1">
      <c r="K37" s="37"/>
      <c r="L37" s="37"/>
      <c r="M37" s="37"/>
    </row>
  </sheetData>
  <mergeCells count="44">
    <mergeCell ref="K18:M18"/>
    <mergeCell ref="K19:M19"/>
    <mergeCell ref="K20:M20"/>
    <mergeCell ref="J24:M24"/>
    <mergeCell ref="J25:M25"/>
    <mergeCell ref="K21:M21"/>
    <mergeCell ref="K13:M13"/>
    <mergeCell ref="K14:M14"/>
    <mergeCell ref="K15:M15"/>
    <mergeCell ref="K16:M16"/>
    <mergeCell ref="K17:M17"/>
    <mergeCell ref="K8:M8"/>
    <mergeCell ref="K9:M9"/>
    <mergeCell ref="K10:M10"/>
    <mergeCell ref="K11:M11"/>
    <mergeCell ref="K12:M12"/>
    <mergeCell ref="K4:M4"/>
    <mergeCell ref="P4:R4"/>
    <mergeCell ref="K5:M5"/>
    <mergeCell ref="K6:M6"/>
    <mergeCell ref="K7:M7"/>
    <mergeCell ref="P6:Q6"/>
    <mergeCell ref="A1:B1"/>
    <mergeCell ref="A6:C6"/>
    <mergeCell ref="A7:C7"/>
    <mergeCell ref="A8:C8"/>
    <mergeCell ref="A9:C9"/>
    <mergeCell ref="F4:H4"/>
    <mergeCell ref="A14:C14"/>
    <mergeCell ref="A15:C15"/>
    <mergeCell ref="A10:C10"/>
    <mergeCell ref="A11:C11"/>
    <mergeCell ref="A12:C12"/>
    <mergeCell ref="A4:C4"/>
    <mergeCell ref="A13:C13"/>
    <mergeCell ref="F6:G6"/>
    <mergeCell ref="A24:C24"/>
    <mergeCell ref="A25:C25"/>
    <mergeCell ref="A16:C16"/>
    <mergeCell ref="A5:C5"/>
    <mergeCell ref="A17:C17"/>
    <mergeCell ref="A18:C18"/>
    <mergeCell ref="A19:C19"/>
    <mergeCell ref="A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Вводные данные</vt:lpstr>
      <vt:lpstr>Денежный поток</vt:lpstr>
      <vt:lpstr>Налог на прибыль</vt:lpstr>
      <vt:lpstr>'Денежный поток'!Заголовки_для_печати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yakovenko</dc:creator>
  <cp:lastModifiedBy>ЯРОБОР</cp:lastModifiedBy>
  <cp:lastPrinted>2016-05-16T09:20:40Z</cp:lastPrinted>
  <dcterms:created xsi:type="dcterms:W3CDTF">2015-12-06T08:37:50Z</dcterms:created>
  <dcterms:modified xsi:type="dcterms:W3CDTF">2018-06-07T13:51:35Z</dcterms:modified>
</cp:coreProperties>
</file>